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NCdzbcSGwe5fVQolRJQaUYIjhu0Fq5+X2f5O5tXrkSIsQuzZS1xfwcCMK0MxCVeygdvKFWM0t9yeYTDHACtvtA==" workbookSaltValue="gl3EarqZ29/z21hKNvBEnA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W34" i="83" s="1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W32" i="83" s="1"/>
  <c r="AD168" i="83"/>
  <c r="W168" i="83"/>
  <c r="V168" i="83"/>
  <c r="O168" i="83"/>
  <c r="N168" i="83"/>
  <c r="AM140" i="83"/>
  <c r="AL140" i="83"/>
  <c r="AE140" i="83"/>
  <c r="W31" i="83" s="1"/>
  <c r="AD140" i="83"/>
  <c r="W140" i="83"/>
  <c r="V140" i="83"/>
  <c r="O140" i="83"/>
  <c r="N140" i="83"/>
  <c r="AM112" i="83"/>
  <c r="AL112" i="83"/>
  <c r="AE112" i="83"/>
  <c r="W30" i="83" s="1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1" i="83" l="1"/>
  <c r="I33" i="83"/>
  <c r="I34" i="83"/>
  <c r="I35" i="83"/>
  <c r="I32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R307" i="83"/>
  <c r="S279" i="83"/>
  <c r="AA133" i="83"/>
  <c r="Z133" i="83"/>
  <c r="AC245" i="83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G190" i="83"/>
  <c r="AH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H158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H161" i="83" l="1"/>
  <c r="AH132" i="83"/>
  <c r="AJ74" i="83"/>
  <c r="AN74" i="83" s="1"/>
  <c r="Y53" i="83" s="1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L41" i="83" l="1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280" i="83" l="1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<sst xmlns="http://schemas.openxmlformats.org/spreadsheetml/2006/main" count="65965" uniqueCount="755">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</sst>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8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4</v>
      </c>
      <c r="AC3" s="2">
        <f>SUMIFS(PERSALDATA!$H$2:$H$20871,PERSALDATA!$A$2:$A$20871,WORKING!A3,PERSALDATA!$D$2:$D$20871,WORKING!B3,PERSALDATA!$E$2:$E$20871,WORKING!C3)</f>
        <v>231979.16999999998</v>
      </c>
    </row>
    <row r="4" spans="1:29" x14ac:dyDescent="0.25">
      <c r="A4" s="2">
        <f>Results!$D$3</f>
        <v>8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0.63014247301242354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4.4668121519332721E-2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8.6381116649911563E-2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0.15013619355134278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8.1917186572167636E-2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6.195351016967319E-3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5.5955767785442723E-4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7.1536941844325519E-2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7.138823173677103E-2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7.0388231736771043E-2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6.8388231736771027E-2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1.1443846981813367E-2</v>
      </c>
      <c r="AB4" s="2">
        <f>SUMIFS(PERSALDATA!$G$2:$G$20871,PERSALDATA!$A$2:$A$20871,WORKING!A4,PERSALDATA!$D$2:$D$20871,WORKING!B4,PERSALDATA!$E$2:$E$20871,WORKING!C4,PERSALDATA!$F$2:$F$20871,"S&amp;W: BASIC SALARY (RES)")</f>
        <v>5</v>
      </c>
      <c r="AC4" s="2">
        <f>SUMIFS(PERSALDATA!$H$2:$H$20871,PERSALDATA!$A$2:$A$20871,WORKING!A4,PERSALDATA!$D$2:$D$20871,WORKING!B4,PERSALDATA!$E$2:$E$20871,WORKING!C4)</f>
        <v>739745.01</v>
      </c>
    </row>
    <row r="5" spans="1:29" x14ac:dyDescent="0.25">
      <c r="A5" s="2">
        <f>Results!$D$3</f>
        <v>8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8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0.63862802304903354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3.7234091353681539E-2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6.5760789218136856E-2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5.8791278518431599E-2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0.10195138984627554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8.3020361030427217E-2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1.4212014877947545E-2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4.0205210606624196E-4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7.2429499477269454E-2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7.0871662955512782E-2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6.9871662955512767E-2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6.7871662955512765E-2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1.2478286532442821E-2</v>
      </c>
      <c r="AB6" s="2">
        <f>SUMIFS(PERSALDATA!$G$2:$G$20871,PERSALDATA!$A$2:$A$20871,WORKING!A6,PERSALDATA!$D$2:$D$20871,WORKING!B6,PERSALDATA!$E$2:$E$20871,WORKING!C6,PERSALDATA!$F$2:$F$20871,"S&amp;W: BASIC SALARY (RES)")</f>
        <v>6</v>
      </c>
      <c r="AC6" s="2">
        <f>SUMIFS(PERSALDATA!$H$2:$H$20871,PERSALDATA!$A$2:$A$20871,WORKING!A6,PERSALDATA!$D$2:$D$20871,WORKING!B6,PERSALDATA!$E$2:$E$20871,WORKING!C6)</f>
        <v>812034.04999999993</v>
      </c>
    </row>
    <row r="7" spans="1:29" x14ac:dyDescent="0.25">
      <c r="A7" s="2">
        <f>Results!$D$3</f>
        <v>8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0.65143741705174407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4.1702834322982468E-2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5.1130338070031124E-2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5.8735338035735107E-2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5.4378003306135757E-2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7.5708315160628314E-2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1.1095314729502318E-2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3.3832285966522741E-4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3.4628309000729586E-2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2.0845807462846123E-2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7.2875386352963561E-2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7.0304366668891741E-2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6.930436666889174E-2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6.7304366668891752E-2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1.3412300036462519E-2</v>
      </c>
      <c r="AB7" s="2">
        <f>SUMIFS(PERSALDATA!$G$2:$G$20871,PERSALDATA!$A$2:$A$20871,WORKING!A7,PERSALDATA!$D$2:$D$20871,WORKING!B7,PERSALDATA!$E$2:$E$20871,WORKING!C7,PERSALDATA!$F$2:$F$20871,"S&amp;W: BASIC SALARY (RES)")</f>
        <v>11</v>
      </c>
      <c r="AC7" s="2">
        <f>SUMIFS(PERSALDATA!$H$2:$H$20871,PERSALDATA!$A$2:$A$20871,WORKING!A7,PERSALDATA!$D$2:$D$20871,WORKING!B7,PERSALDATA!$E$2:$E$20871,WORKING!C7)</f>
        <v>1912758.72</v>
      </c>
    </row>
    <row r="8" spans="1:29" x14ac:dyDescent="0.25">
      <c r="A8" s="2">
        <f>Results!$D$3</f>
        <v>8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0.73146821084013636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3.6166512410619744E-2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5.1059568523214527E-2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8.8841434317603468E-3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4.3212365657597666E-2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8.8112969901544269E-2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1.1133431085206371E-2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3.2110989606306075E-4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2.5421492512338679E-2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4.2201957415189074E-3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7.2724445911442073E-2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7.0137589799631819E-2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6.9137589799631818E-2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6.7137589799631803E-2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1.3581104338846869E-2</v>
      </c>
      <c r="AB8" s="2">
        <f>SUMIFS(PERSALDATA!$G$2:$G$20871,PERSALDATA!$A$2:$A$20871,WORKING!A8,PERSALDATA!$D$2:$D$20871,WORKING!B8,PERSALDATA!$E$2:$E$20871,WORKING!C8,PERSALDATA!$F$2:$F$20871,"S&amp;W: BASIC SALARY (RES)")</f>
        <v>18</v>
      </c>
      <c r="AC8" s="2">
        <f>SUMIFS(PERSALDATA!$H$2:$H$20871,PERSALDATA!$A$2:$A$20871,WORKING!A8,PERSALDATA!$D$2:$D$20871,WORKING!B8,PERSALDATA!$E$2:$E$20871,WORKING!C8)</f>
        <v>3431286.3400000003</v>
      </c>
    </row>
    <row r="9" spans="1:29" x14ac:dyDescent="0.25">
      <c r="A9" s="2">
        <f>Results!$D$3</f>
        <v>8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0.70654042138480766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5.3924425781821002E-2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4.4981763872084773E-2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1.2370477496764648E-2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4.7791230145084927E-2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9.1849602055173563E-2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1.4224199660545826E-2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2.4658529462425583E-4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2.8071294309093154E-2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7.3250463167752744E-2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7.0267050813455412E-2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6.9267050813455411E-2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6.7267050813455423E-2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1.3604706310323088E-2</v>
      </c>
      <c r="AB9" s="2">
        <f>SUMIFS(PERSALDATA!$G$2:$G$20871,PERSALDATA!$A$2:$A$20871,WORKING!A9,PERSALDATA!$D$2:$D$20871,WORKING!B9,PERSALDATA!$E$2:$E$20871,WORKING!C9,PERSALDATA!$F$2:$F$20871,"S&amp;W: BASIC SALARY (RES)")</f>
        <v>14</v>
      </c>
      <c r="AC9" s="2">
        <f>SUMIFS(PERSALDATA!$H$2:$H$20871,PERSALDATA!$A$2:$A$20871,WORKING!A9,PERSALDATA!$D$2:$D$20871,WORKING!B9,PERSALDATA!$E$2:$E$20871,WORKING!C9)</f>
        <v>3167950.4700000007</v>
      </c>
    </row>
    <row r="10" spans="1:29" x14ac:dyDescent="0.25">
      <c r="A10" s="2">
        <f>Results!$D$3</f>
        <v>8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0.74090127094936831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6.3092490480999783E-2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3.7790669710237361E-2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1.1084797521536304E-2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4.3190260608260672E-2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9.6353825561522596E-2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7.3800884137678853E-3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2.0659675430707516E-4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7.3732572750537601E-2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7.0269947212021525E-2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6.9269947212021538E-2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6.7269947212021536E-2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1.3782187093907923E-2</v>
      </c>
      <c r="AB10" s="2">
        <f>SUMIFS(PERSALDATA!$G$2:$G$20871,PERSALDATA!$A$2:$A$20871,WORKING!A10,PERSALDATA!$D$2:$D$20871,WORKING!B10,PERSALDATA!$E$2:$E$20871,WORKING!C10,PERSALDATA!$F$2:$F$20871,"S&amp;W: BASIC SALARY (RES)")</f>
        <v>15</v>
      </c>
      <c r="AC10" s="2">
        <f>SUMIFS(PERSALDATA!$H$2:$H$20871,PERSALDATA!$A$2:$A$20871,WORKING!A10,PERSALDATA!$D$2:$D$20871,WORKING!B10,PERSALDATA!$E$2:$E$20871,WORKING!C10)</f>
        <v>3866033.63</v>
      </c>
    </row>
    <row r="11" spans="1:29" x14ac:dyDescent="0.25">
      <c r="A11" s="2">
        <f>Results!$D$3</f>
        <v>8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0.73759888166391063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5.4462909648216533E-2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3.0697685030702027E-2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1.6259340258769791E-2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4.3716216814653576E-2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9.5887363052856209E-2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1.3207679985688673E-2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1.739475411325501E-4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7.9959760040701662E-3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7.42790029730718E-2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7.0348766401912802E-2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6.9348766401912801E-2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6.7348766401912799E-2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1.3881182259202679E-2</v>
      </c>
      <c r="AB11" s="2">
        <f>SUMIFS(PERSALDATA!$G$2:$G$20871,PERSALDATA!$A$2:$A$20871,WORKING!A11,PERSALDATA!$D$2:$D$20871,WORKING!B11,PERSALDATA!$E$2:$E$20871,WORKING!C11,PERSALDATA!$F$2:$F$20871,"S&amp;W: BASIC SALARY (RES)")</f>
        <v>14</v>
      </c>
      <c r="AC11" s="2">
        <f>SUMIFS(PERSALDATA!$H$2:$H$20871,PERSALDATA!$A$2:$A$20871,WORKING!A11,PERSALDATA!$D$2:$D$20871,WORKING!B11,PERSALDATA!$E$2:$E$20871,WORKING!C11)</f>
        <v>4993861.9099999992</v>
      </c>
    </row>
    <row r="12" spans="1:29" x14ac:dyDescent="0.25">
      <c r="A12" s="2">
        <f>Results!$D$3</f>
        <v>8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0.70387301656664747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4.3783152168462111E-2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1.9178602884524377E-2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6.3228515212737715E-3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3.630296430452859E-2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6.8555919109255889E-2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2.66548626864597E-2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1.2837588516000336E-4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6.5311588510260962E-2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2.7148377860982283E-2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2.7402885024446176E-3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7.5050667681039532E-2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7.0352758435722668E-2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6.9352758435722681E-2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6.7352758435722665E-2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1.4165850853886802E-2</v>
      </c>
      <c r="AB12" s="2">
        <f>SUMIFS(PERSALDATA!$G$2:$G$20871,PERSALDATA!$A$2:$A$20871,WORKING!A12,PERSALDATA!$D$2:$D$20871,WORKING!B12,PERSALDATA!$E$2:$E$20871,WORKING!C12,PERSALDATA!$F$2:$F$20871,"S&amp;W: BASIC SALARY (RES)")</f>
        <v>3</v>
      </c>
      <c r="AC12" s="2">
        <f>SUMIFS(PERSALDATA!$H$2:$H$20871,PERSALDATA!$A$2:$A$20871,WORKING!A12,PERSALDATA!$D$2:$D$20871,WORKING!B12,PERSALDATA!$E$2:$E$20871,WORKING!C12)</f>
        <v>1407818.9200000004</v>
      </c>
    </row>
    <row r="13" spans="1:29" x14ac:dyDescent="0.25">
      <c r="A13" s="2">
        <f>Results!$D$3</f>
        <v>8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0.70716650954729898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4.8002281786940437E-2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6.3031918238838662E-3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4.9126843973804138E-3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2.1791844596516036E-2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9.2037947003991621E-2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1.803752841031413E-2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1.1386065550530045E-4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9.126158182753695E-2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1.002850419263529E-2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3.4406575799672724E-4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1.4576866543861419E-2</v>
      </c>
      <c r="AB13" s="2">
        <f>SUMIFS(PERSALDATA!$G$2:$G$20871,PERSALDATA!$A$2:$A$20871,WORKING!A13,PERSALDATA!$D$2:$D$20871,WORKING!B13,PERSALDATA!$E$2:$E$20871,WORKING!C13,PERSALDATA!$F$2:$F$20871,"S&amp;W: BASIC SALARY (RES)")</f>
        <v>10</v>
      </c>
      <c r="AC13" s="2">
        <f>SUMIFS(PERSALDATA!$H$2:$H$20871,PERSALDATA!$A$2:$A$20871,WORKING!A13,PERSALDATA!$D$2:$D$20871,WORKING!B13,PERSALDATA!$E$2:$E$20871,WORKING!C13)</f>
        <v>6349164.2200000025</v>
      </c>
    </row>
    <row r="14" spans="1:29" x14ac:dyDescent="0.25">
      <c r="A14" s="2">
        <f>Results!$D$3</f>
        <v>8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0.68938863639780834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5.845297257829922E-2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4.2163610560663842E-3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1.714653496133663E-2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8.9620239254358566E-2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2.5516648089485922E-2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9.1213944179569458E-5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7.7701554455642197E-2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3.7865839262823095E-2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1.4678188350576259E-2</v>
      </c>
      <c r="AB14" s="2">
        <f>SUMIFS(PERSALDATA!$G$2:$G$20871,PERSALDATA!$A$2:$A$20871,WORKING!A14,PERSALDATA!$D$2:$D$20871,WORKING!B14,PERSALDATA!$E$2:$E$20871,WORKING!C14,PERSALDATA!$F$2:$F$20871,"S&amp;W: BASIC SALARY (RES)")</f>
        <v>6</v>
      </c>
      <c r="AC14" s="2">
        <f>SUMIFS(PERSALDATA!$H$2:$H$20871,PERSALDATA!$A$2:$A$20871,WORKING!A14,PERSALDATA!$D$2:$D$20871,WORKING!B14,PERSALDATA!$E$2:$E$20871,WORKING!C14)</f>
        <v>3771024.3000000003</v>
      </c>
    </row>
    <row r="15" spans="1:29" x14ac:dyDescent="0.25">
      <c r="A15" s="2">
        <f>Results!$D$3</f>
        <v>8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0.59569299537517628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4.2272952306214258E-2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2.673241115647295E-2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9.3942064573561083E-3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7.3275372804728664E-2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2.415086557605628E-2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7.1963000380868841E-5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0.19887998437025245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2.9529248953362053E-2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1.4457021290786848E-2</v>
      </c>
      <c r="AB15" s="2">
        <f>SUMIFS(PERSALDATA!$G$2:$G$20871,PERSALDATA!$A$2:$A$20871,WORKING!A15,PERSALDATA!$D$2:$D$20871,WORKING!B15,PERSALDATA!$E$2:$E$20871,WORKING!C15,PERSALDATA!$F$2:$F$20871,"S&amp;W: BASIC SALARY (RES)")</f>
        <v>11</v>
      </c>
      <c r="AC15" s="2">
        <f>SUMIFS(PERSALDATA!$H$2:$H$20871,PERSALDATA!$A$2:$A$20871,WORKING!A15,PERSALDATA!$D$2:$D$20871,WORKING!B15,PERSALDATA!$E$2:$E$20871,WORKING!C15)</f>
        <v>9316593.1999999993</v>
      </c>
    </row>
    <row r="16" spans="1:29" x14ac:dyDescent="0.25">
      <c r="A16" s="2">
        <f>Results!$D$3</f>
        <v>8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0.5822556404052539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4.6255185040394886E-2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2.1693958143277989E-3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2.724587591130569E-2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7.5693096580746716E-2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1.5448627713533435E-2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6.3216194029512047E-5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0.23502031539387905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1.5848646946528964E-2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1.4557822681205052E-2</v>
      </c>
      <c r="AB16" s="2">
        <f>SUMIFS(PERSALDATA!$G$2:$G$20871,PERSALDATA!$A$2:$A$20871,WORKING!A16,PERSALDATA!$D$2:$D$20871,WORKING!B16,PERSALDATA!$E$2:$E$20871,WORKING!C16,PERSALDATA!$F$2:$F$20871,"S&amp;W: BASIC SALARY (RES)")</f>
        <v>2</v>
      </c>
      <c r="AC16" s="2">
        <f>SUMIFS(PERSALDATA!$H$2:$H$20871,PERSALDATA!$A$2:$A$20871,WORKING!A16,PERSALDATA!$D$2:$D$20871,WORKING!B16,PERSALDATA!$E$2:$E$20871,WORKING!C16)</f>
        <v>2304789.1800000002</v>
      </c>
    </row>
    <row r="17" spans="1:29" x14ac:dyDescent="0.25">
      <c r="A17" s="2">
        <f>Results!$D$3</f>
        <v>8</v>
      </c>
      <c r="B17" s="2">
        <v>1</v>
      </c>
      <c r="C17" s="2">
        <v>15</v>
      </c>
      <c r="D17" s="62" t="str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/>
      </c>
      <c r="E17" s="62" t="str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/>
      </c>
      <c r="F17" s="62" t="str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/>
      </c>
      <c r="G17" s="69" t="str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/>
      </c>
      <c r="H17" s="62" t="str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/>
      </c>
      <c r="I17" s="62" t="str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/>
      </c>
      <c r="J17" s="62" t="str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/>
      </c>
      <c r="K17" s="62" t="str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/>
      </c>
      <c r="L17" s="62" t="str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/>
      </c>
      <c r="M17" s="62" t="str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/>
      </c>
      <c r="N17" s="62" t="str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/>
      </c>
      <c r="O17" s="62" t="str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/>
      </c>
      <c r="P17" s="62" t="str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/>
      </c>
      <c r="Q17" s="62" t="str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/>
      </c>
      <c r="R17" s="62" t="str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/>
      </c>
      <c r="S17" s="62" t="str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/>
      </c>
      <c r="T17" s="62" t="str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/>
      </c>
      <c r="U17" s="62" t="str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/>
      </c>
      <c r="V17" s="62" t="str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/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0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8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0.63735046049239852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4.7894674137893729E-3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9.8516764169635646E-2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1.2035601302755191E-5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0.25933127232287373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1.4927977454773617E-2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3390773.67</v>
      </c>
    </row>
    <row r="19" spans="1:29" x14ac:dyDescent="0.25">
      <c r="A19" s="2">
        <f>Results!$D$3</f>
        <v>8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8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1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9</v>
      </c>
      <c r="AC20" s="2">
        <f>SUMIFS(PERSALDATA!$H$2:$H$20871,PERSALDATA!$A$2:$A$20871,WORKING!A20,PERSALDATA!$D$2:$D$20871,WORKING!B20,PERSALDATA!$E$2:$E$20871,WORKING!C20)</f>
        <v>460285.45999999996</v>
      </c>
    </row>
    <row r="21" spans="1:29" x14ac:dyDescent="0.25">
      <c r="A21" s="2">
        <f>Results!$D$3</f>
        <v>8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8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8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8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8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0.73437673359411226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3.0885032327428563E-2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3.100445690216282E-2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2.0313086680400341E-2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4.8001766197595268E-2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3.2134397109263862E-4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0.13509758032720814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7.3928044488961231E-2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6.9994651731184382E-2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6.8994651731184395E-2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6.6994651731184379E-2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1.4225416686695162E-2</v>
      </c>
      <c r="AB25" s="2">
        <f>SUMIFS(PERSALDATA!$G$2:$G$20871,PERSALDATA!$A$2:$A$20871,WORKING!A25,PERSALDATA!$D$2:$D$20871,WORKING!B25,PERSALDATA!$E$2:$E$20871,WORKING!C25,PERSALDATA!$F$2:$F$20871,"S&amp;W: BASIC SALARY (RES)")</f>
        <v>2</v>
      </c>
      <c r="AC25" s="2">
        <f>SUMIFS(PERSALDATA!$H$2:$H$20871,PERSALDATA!$A$2:$A$20871,WORKING!A25,PERSALDATA!$D$2:$D$20871,WORKING!B25,PERSALDATA!$E$2:$E$20871,WORKING!C25)</f>
        <v>435421.26999999996</v>
      </c>
    </row>
    <row r="26" spans="1:29" x14ac:dyDescent="0.25">
      <c r="A26" s="2">
        <f>Results!$D$3</f>
        <v>8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0.75849980158549324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5.1118523293567503E-2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5.080445936296011E-2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1.3592502173199237E-2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9.8604281418031889E-2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2.7111168532124308E-2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2.6926363462368856E-4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7.2329156118839819E-2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6.9695842938968383E-2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6.8695842938968382E-2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6.6695842938968394E-2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1.4030006622438253E-2</v>
      </c>
      <c r="AB26" s="2">
        <f>SUMIFS(PERSALDATA!$G$2:$G$20871,PERSALDATA!$A$2:$A$20871,WORKING!A26,PERSALDATA!$D$2:$D$20871,WORKING!B26,PERSALDATA!$E$2:$E$20871,WORKING!C26,PERSALDATA!$F$2:$F$20871,"S&amp;W: BASIC SALARY (RES)")</f>
        <v>2</v>
      </c>
      <c r="AC26" s="2">
        <f>SUMIFS(PERSALDATA!$H$2:$H$20871,PERSALDATA!$A$2:$A$20871,WORKING!A26,PERSALDATA!$D$2:$D$20871,WORKING!B26,PERSALDATA!$E$2:$E$20871,WORKING!C26)</f>
        <v>324774.64</v>
      </c>
    </row>
    <row r="27" spans="1:29" x14ac:dyDescent="0.25">
      <c r="A27" s="2">
        <f>Results!$D$3</f>
        <v>8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0.75092062378787694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5.0468598473932549E-2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2.6275052190763541E-2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2.1835003182262884E-2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8.0263408205719922E-2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5.023299262769244E-3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2.2811466114742323E-4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6.4985900235527583E-2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7.4308786078053662E-2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7.0064774525826309E-2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6.9064774525826308E-2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6.7064774525826307E-2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1.4274927449487393E-2</v>
      </c>
      <c r="AB27" s="2">
        <f>SUMIFS(PERSALDATA!$G$2:$G$20871,PERSALDATA!$A$2:$A$20871,WORKING!A27,PERSALDATA!$D$2:$D$20871,WORKING!B27,PERSALDATA!$E$2:$E$20871,WORKING!C27,PERSALDATA!$F$2:$F$20871,"S&amp;W: BASIC SALARY (RES)")</f>
        <v>5</v>
      </c>
      <c r="AC27" s="2">
        <f>SUMIFS(PERSALDATA!$H$2:$H$20871,PERSALDATA!$A$2:$A$20871,WORKING!A27,PERSALDATA!$D$2:$D$20871,WORKING!B27,PERSALDATA!$E$2:$E$20871,WORKING!C27)</f>
        <v>1609892.14</v>
      </c>
    </row>
    <row r="28" spans="1:29" x14ac:dyDescent="0.25">
      <c r="A28" s="2">
        <f>Results!$D$3</f>
        <v>8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8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0.76337078350939414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6.4326135672918242E-2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2.5954612252268069E-2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3.1028639647300481E-2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9.9237772742447827E-2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1.430276882611904E-2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1.4618367477579449E-4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1.6331036747763903E-3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7.4461850423889822E-2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7.0205883472186828E-2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6.9205883472186827E-2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6.7205883472186839E-2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1.4143058466384834E-2</v>
      </c>
      <c r="AB29" s="2">
        <f>SUMIFS(PERSALDATA!$G$2:$G$20871,PERSALDATA!$A$2:$A$20871,WORKING!A29,PERSALDATA!$D$2:$D$20871,WORKING!B29,PERSALDATA!$E$2:$E$20871,WORKING!C29,PERSALDATA!$F$2:$F$20871,"S&amp;W: BASIC SALARY (RES)")</f>
        <v>19</v>
      </c>
      <c r="AC29" s="2">
        <f>SUMIFS(PERSALDATA!$H$2:$H$20871,PERSALDATA!$A$2:$A$20871,WORKING!A29,PERSALDATA!$D$2:$D$20871,WORKING!B29,PERSALDATA!$E$2:$E$20871,WORKING!C29)</f>
        <v>8056371.5599999996</v>
      </c>
    </row>
    <row r="30" spans="1:29" x14ac:dyDescent="0.25">
      <c r="A30" s="2">
        <f>Results!$D$3</f>
        <v>8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0.74990741737265332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0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0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1.2351412298193176E-4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0.24996906850436471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1.499814728815527E-2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188804.32</v>
      </c>
    </row>
    <row r="31" spans="1:29" x14ac:dyDescent="0.25">
      <c r="A31" s="2">
        <f>Results!$D$3</f>
        <v>8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0.71969571499170659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5.8524030693971642E-2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4.7611251531669583E-4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1.347588863352376E-2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9.0903982221801558E-2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1.4228149978568003E-2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9.8191659736982908E-5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0.10082402334440128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1.7739059609733869E-3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1.4789247107871335E-2</v>
      </c>
      <c r="AB31" s="2">
        <f>SUMIFS(PERSALDATA!$G$2:$G$20871,PERSALDATA!$A$2:$A$20871,WORKING!A31,PERSALDATA!$D$2:$D$20871,WORKING!B31,PERSALDATA!$E$2:$E$20871,WORKING!C31,PERSALDATA!$F$2:$F$20871,"S&amp;W: BASIC SALARY (RES)")</f>
        <v>24</v>
      </c>
      <c r="AC31" s="2">
        <f>SUMIFS(PERSALDATA!$H$2:$H$20871,PERSALDATA!$A$2:$A$20871,WORKING!A31,PERSALDATA!$D$2:$D$20871,WORKING!B31,PERSALDATA!$E$2:$E$20871,WORKING!C31)</f>
        <v>16802750.91</v>
      </c>
    </row>
    <row r="32" spans="1:29" x14ac:dyDescent="0.25">
      <c r="A32" s="2">
        <f>Results!$D$3</f>
        <v>8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0.6856898465985154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3.7196323178665308E-2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1.9071474444370323E-2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6.8062189881697138E-3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8.3337910257025874E-2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5.3294897561660592E-3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7.8282068010760754E-5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0.16138814572160154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1.1023089874751763E-3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1.4610660367491738E-2</v>
      </c>
      <c r="AB32" s="2">
        <f>SUMIFS(PERSALDATA!$G$2:$G$20871,PERSALDATA!$A$2:$A$20871,WORKING!A32,PERSALDATA!$D$2:$D$20871,WORKING!B32,PERSALDATA!$E$2:$E$20871,WORKING!C32,PERSALDATA!$F$2:$F$20871,"S&amp;W: BASIC SALARY (RES)")</f>
        <v>15</v>
      </c>
      <c r="AC32" s="2">
        <f>SUMIFS(PERSALDATA!$H$2:$H$20871,PERSALDATA!$A$2:$A$20871,WORKING!A32,PERSALDATA!$D$2:$D$20871,WORKING!B32,PERSALDATA!$E$2:$E$20871,WORKING!C32)</f>
        <v>13554956.159999996</v>
      </c>
    </row>
    <row r="33" spans="1:29" x14ac:dyDescent="0.25">
      <c r="A33" s="2">
        <f>Results!$D$3</f>
        <v>8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0.67032005966946306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1.2719698594781573E-2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8.3104432080310514E-3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5.1672292885329901E-2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1.6262158989628964E-2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6.3751696108217706E-5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0.24065159495665719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1.4874387076437911E-2</v>
      </c>
      <c r="AB33" s="2">
        <f>SUMIFS(PERSALDATA!$G$2:$G$20871,PERSALDATA!$A$2:$A$20871,WORKING!A33,PERSALDATA!$D$2:$D$20871,WORKING!B33,PERSALDATA!$E$2:$E$20871,WORKING!C33,PERSALDATA!$F$2:$F$20871,"S&amp;W: BASIC SALARY (RES)")</f>
        <v>5</v>
      </c>
      <c r="AC33" s="2">
        <f>SUMIFS(PERSALDATA!$H$2:$H$20871,PERSALDATA!$A$2:$A$20871,WORKING!A33,PERSALDATA!$D$2:$D$20871,WORKING!B33,PERSALDATA!$E$2:$E$20871,WORKING!C33)</f>
        <v>4480978.82</v>
      </c>
    </row>
    <row r="34" spans="1:29" x14ac:dyDescent="0.25">
      <c r="A34" s="2">
        <f>Results!$D$3</f>
        <v>8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0.6125708237397286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2.3632095938522623E-2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5.9530308246230745E-3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6.3646377591080683E-3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7.9116866106960046E-2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2.1162927963360983E-2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5.0022539398442134E-5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0.24468880809732724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6.4607870309708734E-3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1.4814484633153052E-2</v>
      </c>
      <c r="AB34" s="2">
        <f>SUMIFS(PERSALDATA!$G$2:$G$20871,PERSALDATA!$A$2:$A$20871,WORKING!A34,PERSALDATA!$D$2:$D$20871,WORKING!B34,PERSALDATA!$E$2:$E$20871,WORKING!C34,PERSALDATA!$F$2:$F$20871,"S&amp;W: BASIC SALARY (RES)")</f>
        <v>9</v>
      </c>
      <c r="AC34" s="2">
        <f>SUMIFS(PERSALDATA!$H$2:$H$20871,PERSALDATA!$A$2:$A$20871,WORKING!A34,PERSALDATA!$D$2:$D$20871,WORKING!B34,PERSALDATA!$E$2:$E$20871,WORKING!C34)</f>
        <v>14800528.100000001</v>
      </c>
    </row>
    <row r="35" spans="1:29" x14ac:dyDescent="0.25">
      <c r="A35" s="2">
        <f>Results!$D$3</f>
        <v>8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8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8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1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1</v>
      </c>
      <c r="AC37" s="2">
        <f>SUMIFS(PERSALDATA!$H$2:$H$20871,PERSALDATA!$A$2:$A$20871,WORKING!A37,PERSALDATA!$D$2:$D$20871,WORKING!B37,PERSALDATA!$E$2:$E$20871,WORKING!C37)</f>
        <v>86828.38</v>
      </c>
    </row>
    <row r="38" spans="1:29" x14ac:dyDescent="0.25">
      <c r="A38" s="2">
        <f>Results!$D$3</f>
        <v>8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8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8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8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8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8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0.80157929228583147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3.8797845874595498E-2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5.5132620292945335E-2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0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0.10420453205657618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2.8570949005144114E-4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7.1809920857736145E-2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6.9448673797070551E-2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6.844867379707055E-2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6.6448673797070548E-2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1.4168725053255048E-2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244864.11000000002</v>
      </c>
    </row>
    <row r="44" spans="1:29" x14ac:dyDescent="0.25">
      <c r="A44" s="2">
        <f>Results!$D$3</f>
        <v>8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8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8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0.75840073726890289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5.4733602455234558E-2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2.7375971283357621E-2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6.0751842939651114E-2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9.8591715623133999E-2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1.4613042971972656E-4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7.4769951983619923E-2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7.063751793126119E-2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6.9637517931261189E-2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6.7637517931261187E-2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1.3675890830209071E-2</v>
      </c>
      <c r="AB46" s="2">
        <f>SUMIFS(PERSALDATA!$G$2:$G$20871,PERSALDATA!$A$2:$A$20871,WORKING!A46,PERSALDATA!$D$2:$D$20871,WORKING!B46,PERSALDATA!$E$2:$E$20871,WORKING!C46,PERSALDATA!$F$2:$F$20871,"S&amp;W: BASIC SALARY (RES)")</f>
        <v>1</v>
      </c>
      <c r="AC46" s="2">
        <f>SUMIFS(PERSALDATA!$H$2:$H$20871,PERSALDATA!$A$2:$A$20871,WORKING!A46,PERSALDATA!$D$2:$D$20871,WORKING!B46,PERSALDATA!$E$2:$E$20871,WORKING!C46)</f>
        <v>558884.28</v>
      </c>
    </row>
    <row r="47" spans="1:29" x14ac:dyDescent="0.25">
      <c r="A47" s="2">
        <f>Results!$D$3</f>
        <v>8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8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0.72650553978239185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5.6784028221859427E-2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2.1159131840248726E-2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9.4445476746383358E-2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2.1664463376752398E-2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1.0001978807728382E-4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7.9341340244287045E-2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1.4681112725575112E-2</v>
      </c>
      <c r="AB48" s="2">
        <f>SUMIFS(PERSALDATA!$G$2:$G$20871,PERSALDATA!$A$2:$A$20871,WORKING!A48,PERSALDATA!$D$2:$D$20871,WORKING!B48,PERSALDATA!$E$2:$E$20871,WORKING!C48,PERSALDATA!$F$2:$F$20871,"S&amp;W: BASIC SALARY (RES)")</f>
        <v>3</v>
      </c>
      <c r="AC48" s="2">
        <f>SUMIFS(PERSALDATA!$H$2:$H$20871,PERSALDATA!$A$2:$A$20871,WORKING!A48,PERSALDATA!$D$2:$D$20871,WORKING!B48,PERSALDATA!$E$2:$E$20871,WORKING!C48)</f>
        <v>2098384.77</v>
      </c>
    </row>
    <row r="49" spans="1:29" x14ac:dyDescent="0.25">
      <c r="A49" s="2">
        <f>Results!$D$3</f>
        <v>8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0.70726962924084857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0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1.6100609283721194E-2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9.1944790571238E-2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1.7069606872336874E-2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7.754779809102638E-5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0.16753781623376432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1.4757327643772817E-2</v>
      </c>
      <c r="AB49" s="2">
        <f>SUMIFS(PERSALDATA!$G$2:$G$20871,PERSALDATA!$A$2:$A$20871,WORKING!A49,PERSALDATA!$D$2:$D$20871,WORKING!B49,PERSALDATA!$E$2:$E$20871,WORKING!C49,PERSALDATA!$F$2:$F$20871,"S&amp;W: BASIC SALARY (RES)")</f>
        <v>1</v>
      </c>
      <c r="AC49" s="2">
        <f>SUMIFS(PERSALDATA!$H$2:$H$20871,PERSALDATA!$A$2:$A$20871,WORKING!A49,PERSALDATA!$D$2:$D$20871,WORKING!B49,PERSALDATA!$E$2:$E$20871,WORKING!C49)</f>
        <v>1729127.11</v>
      </c>
    </row>
    <row r="50" spans="1:29" x14ac:dyDescent="0.25">
      <c r="A50" s="2">
        <f>Results!$D$3</f>
        <v>8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0.54550575951497915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4.5458813292914929E-2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1.0608561816623469E-2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7.0915650324188312E-2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5.8347089991429079E-5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0.23668732244837065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9.0765545512931964E-2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1.4839996366400775E-2</v>
      </c>
      <c r="AB50" s="2">
        <f>SUMIFS(PERSALDATA!$G$2:$G$20871,PERSALDATA!$A$2:$A$20871,WORKING!A50,PERSALDATA!$D$2:$D$20871,WORKING!B50,PERSALDATA!$E$2:$E$20871,WORKING!C50,PERSALDATA!$F$2:$F$20871,"S&amp;W: BASIC SALARY (RES)")</f>
        <v>1</v>
      </c>
      <c r="AC50" s="2">
        <f>SUMIFS(PERSALDATA!$H$2:$H$20871,PERSALDATA!$A$2:$A$20871,WORKING!A50,PERSALDATA!$D$2:$D$20871,WORKING!B50,PERSALDATA!$E$2:$E$20871,WORKING!C50)</f>
        <v>1199031.52</v>
      </c>
    </row>
    <row r="51" spans="1:29" x14ac:dyDescent="0.25">
      <c r="A51" s="2">
        <f>Results!$D$3</f>
        <v>8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8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8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8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0.99998625913929284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1.3740860707245165E-5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7.6000000000000012E-2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6.900000000000002E-2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1.4999793887089392E-2</v>
      </c>
      <c r="AB54" s="2">
        <f>SUMIFS(PERSALDATA!$G$2:$G$20871,PERSALDATA!$A$2:$A$20871,WORKING!A54,PERSALDATA!$D$2:$D$20871,WORKING!B54,PERSALDATA!$E$2:$E$20871,WORKING!C54,PERSALDATA!$F$2:$F$20871,"S&amp;W: BASIC SALARY (RES)")</f>
        <v>10</v>
      </c>
      <c r="AC54" s="2">
        <f>SUMIFS(PERSALDATA!$H$2:$H$20871,PERSALDATA!$A$2:$A$20871,WORKING!A54,PERSALDATA!$D$2:$D$20871,WORKING!B54,PERSALDATA!$E$2:$E$20871,WORKING!C54)</f>
        <v>424282.01</v>
      </c>
    </row>
    <row r="55" spans="1:29" x14ac:dyDescent="0.25">
      <c r="A55" s="2">
        <f>Results!$D$3</f>
        <v>8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8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8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8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8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0.72623132375911792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6.0519276979926498E-2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6.1666967768959913E-2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2.6311239581422896E-2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9.4409204183213025E-2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3.0542415796610465E-2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3.1957193074936559E-4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7.1681667803698973E-2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6.9777998916031758E-2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6.8777998916031757E-2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6.6777998916031756E-2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1.3675533310783018E-2</v>
      </c>
      <c r="AB59" s="2">
        <f>SUMIFS(PERSALDATA!$G$2:$G$20871,PERSALDATA!$A$2:$A$20871,WORKING!A59,PERSALDATA!$D$2:$D$20871,WORKING!B59,PERSALDATA!$E$2:$E$20871,WORKING!C59,PERSALDATA!$F$2:$F$20871,"S&amp;W: BASIC SALARY (RES)")</f>
        <v>1</v>
      </c>
      <c r="AC59" s="2">
        <f>SUMIFS(PERSALDATA!$H$2:$H$20871,PERSALDATA!$A$2:$A$20871,WORKING!A59,PERSALDATA!$D$2:$D$20871,WORKING!B59,PERSALDATA!$E$2:$E$20871,WORKING!C59)</f>
        <v>218917.84999999998</v>
      </c>
    </row>
    <row r="60" spans="1:29" x14ac:dyDescent="0.25">
      <c r="A60" s="2">
        <f>Results!$D$3</f>
        <v>8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0.72812475277347743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4.4562251113534811E-2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3.7179574621009022E-2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4.9428178926708109E-2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8.1905457696434217E-2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2.2041934345441543E-2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2.5608412494234229E-4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3.6501766398452734E-2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7.3866346833777255E-2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7.0369626937690555E-2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6.9369626937690554E-2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6.7369626937690552E-2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1.3697042434910107E-2</v>
      </c>
      <c r="AB60" s="2">
        <f>SUMIFS(PERSALDATA!$G$2:$G$20871,PERSALDATA!$A$2:$A$20871,WORKING!A60,PERSALDATA!$D$2:$D$20871,WORKING!B60,PERSALDATA!$E$2:$E$20871,WORKING!C60,PERSALDATA!$F$2:$F$20871,"S&amp;W: BASIC SALARY (RES)")</f>
        <v>7</v>
      </c>
      <c r="AC60" s="2">
        <f>SUMIFS(PERSALDATA!$H$2:$H$20871,PERSALDATA!$A$2:$A$20871,WORKING!A60,PERSALDATA!$D$2:$D$20871,WORKING!B60,PERSALDATA!$E$2:$E$20871,WORKING!C60)</f>
        <v>1912340.3299999994</v>
      </c>
    </row>
    <row r="61" spans="1:29" x14ac:dyDescent="0.25">
      <c r="A61" s="2">
        <f>Results!$D$3</f>
        <v>8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0.7380568028729616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3.889176305879416E-2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2.5848382197625627E-2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2.5163878743132948E-2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6.1012684088348625E-2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1.8580898926315644E-2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2.1209076266896223E-4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9.2233499350152529E-2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7.4387817255384306E-2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7.0118974359170763E-2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6.9118974359170748E-2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6.7118974359170747E-2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1.4231634724448588E-2</v>
      </c>
      <c r="AB61" s="2">
        <f>SUMIFS(PERSALDATA!$G$2:$G$20871,PERSALDATA!$A$2:$A$20871,WORKING!A61,PERSALDATA!$D$2:$D$20871,WORKING!B61,PERSALDATA!$E$2:$E$20871,WORKING!C61,PERSALDATA!$F$2:$F$20871,"S&amp;W: BASIC SALARY (RES)")</f>
        <v>3</v>
      </c>
      <c r="AC61" s="2">
        <f>SUMIFS(PERSALDATA!$H$2:$H$20871,PERSALDATA!$A$2:$A$20871,WORKING!A61,PERSALDATA!$D$2:$D$20871,WORKING!B61,PERSALDATA!$E$2:$E$20871,WORKING!C61)</f>
        <v>1044552.7999999999</v>
      </c>
    </row>
    <row r="62" spans="1:29" x14ac:dyDescent="0.25">
      <c r="A62" s="2">
        <f>Results!$D$3</f>
        <v>8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0.72957710332511094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3.2270014874560549E-2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1.6016220468803317E-2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1.4435953382548055E-2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6.8775572639497684E-2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3.0428410525722472E-2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1.659992272588859E-4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7.4018239200686675E-2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3.4312486355811446E-2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7.4984870591726621E-2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7.0056377096050185E-2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6.9056377096050184E-2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6.7056377096050196E-2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1.4540727403820848E-2</v>
      </c>
      <c r="AB62" s="2">
        <f>SUMIFS(PERSALDATA!$G$2:$G$20871,PERSALDATA!$A$2:$A$20871,WORKING!A62,PERSALDATA!$D$2:$D$20871,WORKING!B62,PERSALDATA!$E$2:$E$20871,WORKING!C62,PERSALDATA!$F$2:$F$20871,"S&amp;W: BASIC SALARY (RES)")</f>
        <v>2</v>
      </c>
      <c r="AC62" s="2">
        <f>SUMIFS(PERSALDATA!$H$2:$H$20871,PERSALDATA!$A$2:$A$20871,WORKING!A62,PERSALDATA!$D$2:$D$20871,WORKING!B62,PERSALDATA!$E$2:$E$20871,WORKING!C62)</f>
        <v>842895.49</v>
      </c>
    </row>
    <row r="63" spans="1:29" x14ac:dyDescent="0.25">
      <c r="A63" s="2">
        <f>Results!$D$3</f>
        <v>8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0.74586910989390953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6.8281301406400693E-2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2.6977179839079126E-2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5.7890907776898663E-4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3.2211502093967115E-2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9.7026566099525646E-2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2.891620424066085E-2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1.3922734868801714E-4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7.4400695361545532E-2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7.0213400733018738E-2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6.921340073301871E-2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6.7213400733018708E-2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1.4110081360773985E-2</v>
      </c>
      <c r="AB63" s="2">
        <f>SUMIFS(PERSALDATA!$G$2:$G$20871,PERSALDATA!$A$2:$A$20871,WORKING!A63,PERSALDATA!$D$2:$D$20871,WORKING!B63,PERSALDATA!$E$2:$E$20871,WORKING!C63,PERSALDATA!$F$2:$F$20871,"S&amp;W: BASIC SALARY (RES)")</f>
        <v>17</v>
      </c>
      <c r="AC63" s="2">
        <f>SUMIFS(PERSALDATA!$H$2:$H$20871,PERSALDATA!$A$2:$A$20871,WORKING!A63,PERSALDATA!$D$2:$D$20871,WORKING!B63,PERSALDATA!$E$2:$E$20871,WORKING!C63)</f>
        <v>8206936.4299999997</v>
      </c>
    </row>
    <row r="64" spans="1:29" x14ac:dyDescent="0.25">
      <c r="A64" s="2">
        <f>Results!$D$3</f>
        <v>8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0.71793748151786141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1.0996435110615174E-2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-1.1185760318313926E-3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2.6209479288067116E-2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9.3331510800118783E-2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1.7895613216989986E-2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1.2318007834978811E-4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0.13462487601982906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1.4621788749981216E-2</v>
      </c>
      <c r="AB64" s="2">
        <f>SUMIFS(PERSALDATA!$G$2:$G$20871,PERSALDATA!$A$2:$A$20871,WORKING!A64,PERSALDATA!$D$2:$D$20871,WORKING!B64,PERSALDATA!$E$2:$E$20871,WORKING!C64,PERSALDATA!$F$2:$F$20871,"S&amp;W: BASIC SALARY (RES)")</f>
        <v>2</v>
      </c>
      <c r="AC64" s="2">
        <f>SUMIFS(PERSALDATA!$H$2:$H$20871,PERSALDATA!$A$2:$A$20871,WORKING!A64,PERSALDATA!$D$2:$D$20871,WORKING!B64,PERSALDATA!$E$2:$E$20871,WORKING!C64)</f>
        <v>804594.39000000013</v>
      </c>
    </row>
    <row r="65" spans="1:29" x14ac:dyDescent="0.25">
      <c r="A65" s="2">
        <f>Results!$D$3</f>
        <v>8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0.68847332715090448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4.7697933724148968E-2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9.6968082320837581E-4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1.1639951023848867E-3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1.5286804726126507E-2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8.9501278351269448E-2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2.5358501932119224E-2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9.706505040315846E-5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0.12735583872142425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4.095574418010544E-3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1.4754696741003924E-2</v>
      </c>
      <c r="AB65" s="2">
        <f>SUMIFS(PERSALDATA!$G$2:$G$20871,PERSALDATA!$A$2:$A$20871,WORKING!A65,PERSALDATA!$D$2:$D$20871,WORKING!B65,PERSALDATA!$E$2:$E$20871,WORKING!C65,PERSALDATA!$F$2:$F$20871,"S&amp;W: BASIC SALARY (RES)")</f>
        <v>22</v>
      </c>
      <c r="AC65" s="2">
        <f>SUMIFS(PERSALDATA!$H$2:$H$20871,PERSALDATA!$A$2:$A$20871,WORKING!A65,PERSALDATA!$D$2:$D$20871,WORKING!B65,PERSALDATA!$E$2:$E$20871,WORKING!C65)</f>
        <v>16397148.030000003</v>
      </c>
    </row>
    <row r="66" spans="1:29" x14ac:dyDescent="0.25">
      <c r="A66" s="2">
        <f>Results!$D$3</f>
        <v>8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0.67183367487844359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3.6466412061433334E-2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2.1819999997354737E-2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7.5426531301071922E-3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8.568559645165931E-2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1.4785545256143874E-2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7.5334917673124197E-5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0.15704832195024707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4.2035790765195605E-3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5.3888228041837263E-4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1.4558430179322974E-2</v>
      </c>
      <c r="AB66" s="2">
        <f>SUMIFS(PERSALDATA!$G$2:$G$20871,PERSALDATA!$A$2:$A$20871,WORKING!A66,PERSALDATA!$D$2:$D$20871,WORKING!B66,PERSALDATA!$E$2:$E$20871,WORKING!C66,PERSALDATA!$F$2:$F$20871,"S&amp;W: BASIC SALARY (RES)")</f>
        <v>17</v>
      </c>
      <c r="AC66" s="2">
        <f>SUMIFS(PERSALDATA!$H$2:$H$20871,PERSALDATA!$A$2:$A$20871,WORKING!A66,PERSALDATA!$D$2:$D$20871,WORKING!B66,PERSALDATA!$E$2:$E$20871,WORKING!C66)</f>
        <v>16482263.979999997</v>
      </c>
    </row>
    <row r="67" spans="1:29" x14ac:dyDescent="0.25">
      <c r="A67" s="2">
        <f>Results!$D$3</f>
        <v>8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0.60735444199127042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3.6490374134263086E-2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1.6336028673191141E-2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1.2076560456181301E-2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7.895591999769988E-2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1.0263669674173914E-2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6.084716902189443E-5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0.18226496835215114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5.6197189552047222E-2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1.4572898455524085E-2</v>
      </c>
      <c r="AB67" s="2">
        <f>SUMIFS(PERSALDATA!$G$2:$G$20871,PERSALDATA!$A$2:$A$20871,WORKING!A67,PERSALDATA!$D$2:$D$20871,WORKING!B67,PERSALDATA!$E$2:$E$20871,WORKING!C67,PERSALDATA!$F$2:$F$20871,"S&amp;W: BASIC SALARY (RES)")</f>
        <v>5</v>
      </c>
      <c r="AC67" s="2">
        <f>SUMIFS(PERSALDATA!$H$2:$H$20871,PERSALDATA!$A$2:$A$20871,WORKING!A67,PERSALDATA!$D$2:$D$20871,WORKING!B67,PERSALDATA!$E$2:$E$20871,WORKING!C67)</f>
        <v>6611153.9199999999</v>
      </c>
    </row>
    <row r="68" spans="1:29" x14ac:dyDescent="0.25">
      <c r="A68" s="2">
        <f>Results!$D$3</f>
        <v>8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0.60973924919335787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4.9140229554451076E-2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3.7302007532184667E-3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7.9265986560958901E-2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5.2293950360418422E-5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0.2580720399876531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1.4943262579446313E-2</v>
      </c>
      <c r="AB68" s="2">
        <f>SUMIFS(PERSALDATA!$G$2:$G$20871,PERSALDATA!$A$2:$A$20871,WORKING!A68,PERSALDATA!$D$2:$D$20871,WORKING!B68,PERSALDATA!$E$2:$E$20871,WORKING!C68,PERSALDATA!$F$2:$F$20871,"S&amp;W: BASIC SALARY (RES)")</f>
        <v>4</v>
      </c>
      <c r="AC68" s="2">
        <f>SUMIFS(PERSALDATA!$H$2:$H$20871,PERSALDATA!$A$2:$A$20871,WORKING!A68,PERSALDATA!$D$2:$D$20871,WORKING!B68,PERSALDATA!$E$2:$E$20871,WORKING!C68)</f>
        <v>3233069.9600000004</v>
      </c>
    </row>
    <row r="69" spans="1:29" x14ac:dyDescent="0.25">
      <c r="A69" s="2">
        <f>Results!$D$3</f>
        <v>8</v>
      </c>
      <c r="B69" s="2">
        <v>4</v>
      </c>
      <c r="C69" s="2">
        <v>16</v>
      </c>
      <c r="D69" s="62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>0.65498577529264712</v>
      </c>
      <c r="E69" s="62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>2.4897113622355464E-2</v>
      </c>
      <c r="F69" s="62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>0</v>
      </c>
      <c r="G69" s="69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>0</v>
      </c>
      <c r="H69" s="62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>0</v>
      </c>
      <c r="I69" s="62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>8.5148099233628011E-2</v>
      </c>
      <c r="J69" s="62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>0</v>
      </c>
      <c r="K69" s="62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>3.7436578665480007E-5</v>
      </c>
      <c r="L69" s="62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>0</v>
      </c>
      <c r="M69" s="62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>0.23493157527270406</v>
      </c>
      <c r="N69" s="62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>0</v>
      </c>
      <c r="O69" s="62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>0</v>
      </c>
      <c r="P69" s="62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>0</v>
      </c>
      <c r="Q69" s="62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>0</v>
      </c>
      <c r="R69" s="62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>0</v>
      </c>
      <c r="S69" s="62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>0</v>
      </c>
      <c r="T69" s="62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>0</v>
      </c>
      <c r="U69" s="62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>0</v>
      </c>
      <c r="V69" s="62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>0</v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1.499943845132002E-2</v>
      </c>
      <c r="AB69" s="2">
        <f>SUMIFS(PERSALDATA!$G$2:$G$20871,PERSALDATA!$A$2:$A$20871,WORKING!A69,PERSALDATA!$D$2:$D$20871,WORKING!B69,PERSALDATA!$E$2:$E$20871,WORKING!C69,PERSALDATA!$F$2:$F$20871,"S&amp;W: BASIC SALARY (RES)")</f>
        <v>1</v>
      </c>
      <c r="AC69" s="2">
        <f>SUMIFS(PERSALDATA!$H$2:$H$20871,PERSALDATA!$A$2:$A$20871,WORKING!A69,PERSALDATA!$D$2:$D$20871,WORKING!B69,PERSALDATA!$E$2:$E$20871,WORKING!C69)</f>
        <v>1090110.2999999998</v>
      </c>
    </row>
    <row r="70" spans="1:29" x14ac:dyDescent="0.25">
      <c r="A70" s="2">
        <f>Results!$D$3</f>
        <v>8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8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1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1</v>
      </c>
      <c r="AC71" s="2">
        <f>SUMIFS(PERSALDATA!$H$2:$H$20871,PERSALDATA!$A$2:$A$20871,WORKING!A71,PERSALDATA!$D$2:$D$20871,WORKING!B71,PERSALDATA!$E$2:$E$20871,WORKING!C71)</f>
        <v>43500</v>
      </c>
    </row>
    <row r="72" spans="1:29" x14ac:dyDescent="0.25">
      <c r="A72" s="2">
        <f>Results!$D$3</f>
        <v>8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8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8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8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8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0.70084488803395428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4.2513499593030669E-2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6.4537601471036626E-2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0.100688219420961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9.1108974943061125E-2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0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3.0681653795638003E-4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7.2504777360094669E-2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7.0864947276604071E-2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6.986494727660407E-2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6.7864947276604054E-2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1.2517010438550691E-2</v>
      </c>
      <c r="AB76" s="2">
        <f>SUMIFS(PERSALDATA!$G$2:$G$20871,PERSALDATA!$A$2:$A$20871,WORKING!A76,PERSALDATA!$D$2:$D$20871,WORKING!B76,PERSALDATA!$E$2:$E$20871,WORKING!C76,PERSALDATA!$F$2:$F$20871,"S&amp;W: BASIC SALARY (RES)")</f>
        <v>1</v>
      </c>
      <c r="AC76" s="2">
        <f>SUMIFS(PERSALDATA!$H$2:$H$20871,PERSALDATA!$A$2:$A$20871,WORKING!A76,PERSALDATA!$D$2:$D$20871,WORKING!B76,PERSALDATA!$E$2:$E$20871,WORKING!C76)</f>
        <v>209180.37999999998</v>
      </c>
    </row>
    <row r="77" spans="1:29" x14ac:dyDescent="0.25">
      <c r="A77" s="2">
        <f>Results!$D$3</f>
        <v>8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0.72972130080961894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0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0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0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0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0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2.8209369426239516E-4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0.26999660549611865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7.5999999999999998E-2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7.0000000000000007E-2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6.9000000000000006E-2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6.7000000000000004E-2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1.4995768594586064E-2</v>
      </c>
      <c r="AB77" s="2">
        <f>SUMIFS(PERSALDATA!$G$2:$G$20871,PERSALDATA!$A$2:$A$20871,WORKING!A77,PERSALDATA!$D$2:$D$20871,WORKING!B77,PERSALDATA!$E$2:$E$20871,WORKING!C77,PERSALDATA!$F$2:$F$20871,"S&amp;W: BASIC SALARY (RES)")</f>
        <v>1</v>
      </c>
      <c r="AC77" s="2">
        <f>SUMIFS(PERSALDATA!$H$2:$H$20871,PERSALDATA!$A$2:$A$20871,WORKING!A77,PERSALDATA!$D$2:$D$20871,WORKING!B77,PERSALDATA!$E$2:$E$20871,WORKING!C77)</f>
        <v>268669.59999999998</v>
      </c>
    </row>
    <row r="78" spans="1:29" x14ac:dyDescent="0.25">
      <c r="A78" s="2">
        <f>Results!$D$3</f>
        <v>8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8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8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8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8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8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0.69995189589238538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0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0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0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0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6.8720153735117186E-5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0.29997938395387946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1.4998969197693971E-2</v>
      </c>
      <c r="AB83" s="2">
        <f>SUMIFS(PERSALDATA!$G$2:$G$20871,PERSALDATA!$A$2:$A$20871,WORKING!A83,PERSALDATA!$D$2:$D$20871,WORKING!B83,PERSALDATA!$E$2:$E$20871,WORKING!C83,PERSALDATA!$F$2:$F$20871,"S&amp;W: BASIC SALARY (RES)")</f>
        <v>1</v>
      </c>
      <c r="AC83" s="2">
        <f>SUMIFS(PERSALDATA!$H$2:$H$20871,PERSALDATA!$A$2:$A$20871,WORKING!A83,PERSALDATA!$D$2:$D$20871,WORKING!B83,PERSALDATA!$E$2:$E$20871,WORKING!C83)</f>
        <v>509020.97999999992</v>
      </c>
    </row>
    <row r="84" spans="1:29" x14ac:dyDescent="0.25">
      <c r="A84" s="2">
        <f>Results!$D$3</f>
        <v>8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0.59739839263595607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5.4052772118065105E-2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5.7034100076615454E-2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1.3003774817468323E-2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7.766167490050685E-2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6.6553609871221447E-5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0.2007827318415169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1.3948433572440674E-2</v>
      </c>
      <c r="AB84" s="2">
        <f>SUMIFS(PERSALDATA!$G$2:$G$20871,PERSALDATA!$A$2:$A$20871,WORKING!A84,PERSALDATA!$D$2:$D$20871,WORKING!B84,PERSALDATA!$E$2:$E$20871,WORKING!C84,PERSALDATA!$F$2:$F$20871,"S&amp;W: BASIC SALARY (RES)")</f>
        <v>1</v>
      </c>
      <c r="AC84" s="2">
        <f>SUMIFS(PERSALDATA!$H$2:$H$20871,PERSALDATA!$A$2:$A$20871,WORKING!A84,PERSALDATA!$D$2:$D$20871,WORKING!B84,PERSALDATA!$E$2:$E$20871,WORKING!C84)</f>
        <v>964335.37000000011</v>
      </c>
    </row>
    <row r="85" spans="1:29" x14ac:dyDescent="0.25">
      <c r="A85" s="2">
        <f>Results!$D$3</f>
        <v>8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8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8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8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8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8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8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8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8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8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8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8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8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8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8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8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8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8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8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8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8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8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8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8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8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8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8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8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8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8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8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8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8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8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8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8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8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8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8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8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8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8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8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8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8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8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8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8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8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8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8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8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8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8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8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8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8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8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8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8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8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8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8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8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8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8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8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8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8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8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8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8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8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8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8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8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8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8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8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8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8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8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8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8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8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8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8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8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8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8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8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8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8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8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8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8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8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8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8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8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8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8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8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8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8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8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8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8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8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8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8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8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8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8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8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8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8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8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8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8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8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8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8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8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8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8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8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8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8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8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8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8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8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8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8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8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8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8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8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8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8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8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8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8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8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8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8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8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8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8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8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8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8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8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8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8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8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8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8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8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8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8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8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8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8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8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8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8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8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8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8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8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8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8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8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8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8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8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8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8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8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8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8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8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8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8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8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8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8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8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G5" sqref="G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8</v>
      </c>
      <c r="E3" s="74" t="str">
        <f>INDEX(MAPs!$I$7:$J$54,MATCH(Results!$D$3,MAPs!$I$7:$I$54,0),2)</f>
        <v>Planning, Monitoring and Evaluation.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111.07356948228883</v>
      </c>
      <c r="N9" s="148">
        <f>IFERROR(SUMIFS('Employee Profile (2)'!C$4:C$50,'Employee Profile (2)'!$B$4:$B$50,Results!$D$3),"")</f>
        <v>0.35149863760217986</v>
      </c>
      <c r="O9" s="150" t="s">
        <v>620</v>
      </c>
      <c r="P9" s="143">
        <f>IFERROR(INDEX('Employee Profile (2)'!$AC$4:$AC$50,MATCH(Results!$D$3,'Employee Profile (2)'!$B$4:$B$50,0))*$Q9,"")</f>
        <v>247.11716621253407</v>
      </c>
      <c r="Q9" s="148">
        <f>IFERROR(SUMIFS('Employee Profile (2)'!J$4:J$50,'Employee Profile (2)'!$B$4:$B$50,Results!$D$3),"")</f>
        <v>0.78201634877384196</v>
      </c>
      <c r="R9" s="150" t="s">
        <v>627</v>
      </c>
      <c r="S9" s="144">
        <f>IFERROR(INDEX('Employee Profile (2)'!$AC$4:$AC$50,MATCH(Results!$D$3,'Employee Profile (2)'!$B$4:$B$50,0))*$T9,"")</f>
        <v>10.332425068119891</v>
      </c>
      <c r="T9" s="147">
        <f>IFERROR(SUMIFS('Employee Profile (2)'!N$4:N$50,'Employee Profile (2)'!$B$4:$B$50,Results!$D$3),"")</f>
        <v>3.2697547683923703E-2</v>
      </c>
      <c r="U9" s="150" t="s">
        <v>632</v>
      </c>
      <c r="V9" s="144">
        <f>IFERROR(INDEX('Employee Profile (2)'!$AC$4:$AC$50,MATCH(Results!$D$3,'Employee Profile (2)'!$B$4:$B$50,0))*$W9,"")</f>
        <v>155.8474114441417</v>
      </c>
      <c r="W9" s="147">
        <f>IFERROR(SUMIFS('Employee Profile (2)'!S$4:S$50,'Employee Profile (2)'!$B$4:$B$50,Results!$D$3),"")</f>
        <v>0.49318801089918257</v>
      </c>
      <c r="X9" s="150" t="s">
        <v>635</v>
      </c>
      <c r="Y9" s="144">
        <f>IFERROR(INDEX('Employee Profile (2)'!$AC$4:$AC$50,MATCH(Results!$D$3,'Employee Profile (2)'!$B$4:$B$50,0))*$Z9,"")</f>
        <v>228.17438692098094</v>
      </c>
      <c r="Z9" s="147">
        <f>IFERROR(SUMIFS('Employee Profile (2)'!V$4:V$50,'Employee Profile (2)'!$B$4:$B$50,Results!$D$3),"")</f>
        <v>0.72207084468664851</v>
      </c>
      <c r="AA9" s="150" t="s">
        <v>675</v>
      </c>
      <c r="AB9" s="144">
        <f>IFERROR(SUMIFS('Employee Profile (2)'!$AD$4:$AD$50,'Employee Profile (2)'!$B$4:$B$50,Results!$D$3),"")</f>
        <v>122</v>
      </c>
      <c r="AC9" s="147">
        <f>IFERROR(SUMIFS('Employee Profile (2)'!$AE$4:$AE$50,'Employee Profile (2)'!$B$4:$B$50,Results!$D$3),"")</f>
        <v>0.38607594936708861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129.15531335149862</v>
      </c>
      <c r="N10" s="148">
        <f>IFERROR(SUMIFS('Employee Profile (2)'!D$4:D$50,'Employee Profile (2)'!$B$4:$B$50,Results!$D$3),"")</f>
        <v>0.40871934604904631</v>
      </c>
      <c r="O10" s="150" t="s">
        <v>621</v>
      </c>
      <c r="P10" s="143">
        <f>IFERROR(INDEX('Employee Profile (2)'!$AC$4:$AC$50,MATCH(Results!$D$3,'Employee Profile (2)'!$B$4:$B$50,0))*$Q10,"")</f>
        <v>50.801089918256125</v>
      </c>
      <c r="Q10" s="148">
        <f>IFERROR(SUMIFS('Employee Profile (2)'!K$4:K$50,'Employee Profile (2)'!$B$4:$B$50,Results!$D$3),"")</f>
        <v>0.16076294277929154</v>
      </c>
      <c r="R10" s="150" t="s">
        <v>628</v>
      </c>
      <c r="S10" s="144">
        <f>IFERROR(INDEX('Employee Profile (2)'!$AC$4:$AC$50,MATCH(Results!$D$3,'Employee Profile (2)'!$B$4:$B$50,0))*$T10,"")</f>
        <v>56.828337874659397</v>
      </c>
      <c r="T10" s="147">
        <f>IFERROR(SUMIFS('Employee Profile (2)'!O$4:O$50,'Employee Profile (2)'!$B$4:$B$50,Results!$D$3),"")</f>
        <v>0.17983651226158037</v>
      </c>
      <c r="U10" s="150" t="s">
        <v>633</v>
      </c>
      <c r="V10" s="144">
        <f>IFERROR(INDEX('Employee Profile (2)'!$AC$4:$AC$50,MATCH(Results!$D$3,'Employee Profile (2)'!$B$4:$B$50,0))*$W10,"")</f>
        <v>114.51771117166213</v>
      </c>
      <c r="W10" s="147">
        <f>IFERROR(SUMIFS('Employee Profile (2)'!T$4:T$50,'Employee Profile (2)'!$B$4:$B$50,Results!$D$3),"")</f>
        <v>0.36239782016348776</v>
      </c>
      <c r="X10" s="150" t="s">
        <v>636</v>
      </c>
      <c r="Y10" s="144">
        <f>IFERROR(INDEX('Employee Profile (2)'!$AC$4:$AC$50,MATCH(Results!$D$3,'Employee Profile (2)'!$B$4:$B$50,0))*$Z10,"")</f>
        <v>12.915531335149863</v>
      </c>
      <c r="Z10" s="147">
        <f>IFERROR(SUMIFS('Employee Profile (2)'!W$4:W$50,'Employee Profile (2)'!$B$4:$B$50,Results!$D$3),"")</f>
        <v>4.0871934604904632E-2</v>
      </c>
      <c r="AA10" s="150" t="s">
        <v>676</v>
      </c>
      <c r="AB10" s="144">
        <f>IFERROR(INDEX('Employee Profile (2)'!$AC$4:$AC$50,MATCH(Results!$D$3,'Employee Profile (2)'!$B$4:$B$50))-$AB$9,"")</f>
        <v>194</v>
      </c>
      <c r="AC10" s="147">
        <f>IFERROR(100%-$AC$9,"")</f>
        <v>0.61392405063291133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18.081743869209809</v>
      </c>
      <c r="N11" s="148">
        <f>IFERROR(SUMIFS('Employee Profile (2)'!E$4:E$50,'Employee Profile (2)'!$B$4:$B$50,Results!$D$3),"")</f>
        <v>5.7220708446866483E-2</v>
      </c>
      <c r="O11" s="150" t="s">
        <v>622</v>
      </c>
      <c r="P11" s="143">
        <f>IFERROR(INDEX('Employee Profile (2)'!$AC$4:$AC$50,MATCH(Results!$D$3,'Employee Profile (2)'!$B$4:$B$50,0))*$Q11,"")</f>
        <v>17.220708446866485</v>
      </c>
      <c r="Q11" s="148">
        <f>IFERROR(SUMIFS('Employee Profile (2)'!L$4:L$50,'Employee Profile (2)'!$B$4:$B$50,Results!$D$3),"")</f>
        <v>5.4495912806539509E-2</v>
      </c>
      <c r="R11" s="150" t="s">
        <v>629</v>
      </c>
      <c r="S11" s="144">
        <f>IFERROR(INDEX('Employee Profile (2)'!$AC$4:$AC$50,MATCH(Results!$D$3,'Employee Profile (2)'!$B$4:$B$50,0))*$T11,"")</f>
        <v>148.09809264305176</v>
      </c>
      <c r="T11" s="147">
        <f>IFERROR(SUMIFS('Employee Profile (2)'!P$4:P$50,'Employee Profile (2)'!$B$4:$B$50,Results!$D$3),"")</f>
        <v>0.46866485013623976</v>
      </c>
      <c r="U11" s="150" t="s">
        <v>53</v>
      </c>
      <c r="V11" s="144">
        <f>IFERROR(INDEX('Employee Profile (2)'!$AC$4:$AC$50,MATCH(Results!$D$3,'Employee Profile (2)'!$B$4:$B$50,0))*$W11,"")</f>
        <v>45.634877384196187</v>
      </c>
      <c r="W11" s="147">
        <f>IFERROR(SUMIFS('Employee Profile (2)'!U$4:U$50,'Employee Profile (2)'!$B$4:$B$50,Results!$D$3),"")</f>
        <v>0.1444141689373297</v>
      </c>
      <c r="X11" s="150" t="s">
        <v>637</v>
      </c>
      <c r="Y11" s="144">
        <f>IFERROR(INDEX('Employee Profile (2)'!$AC$4:$AC$50,MATCH(Results!$D$3,'Employee Profile (2)'!$B$4:$B$50,0))*$Z11,"")</f>
        <v>15.498637602179837</v>
      </c>
      <c r="Z11" s="147">
        <f>IFERROR(SUMIFS('Employee Profile (2)'!X$4:X$50,'Employee Profile (2)'!$B$4:$B$50,Results!$D$3),"")</f>
        <v>4.9046321525885561E-2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8.6103542234332426</v>
      </c>
      <c r="N12" s="148">
        <f>IFERROR(SUMIFS('Employee Profile (2)'!F$4:F$50,'Employee Profile (2)'!$B$4:$B$50,Results!$D$3),"")</f>
        <v>2.7247956403269755E-2</v>
      </c>
      <c r="O12" s="150" t="s">
        <v>623</v>
      </c>
      <c r="P12" s="143">
        <f>IFERROR(INDEX('Employee Profile (2)'!$AC$4:$AC$50,MATCH(Results!$D$3,'Employee Profile (2)'!$B$4:$B$50,0))*$Q12,"")</f>
        <v>0.8610354223433242</v>
      </c>
      <c r="Q12" s="148">
        <f>IFERROR(SUMIFS('Employee Profile (2)'!M$4:M$50,'Employee Profile (2)'!$B$4:$B$50,Results!$D$3),"")</f>
        <v>2.7247956403269754E-3</v>
      </c>
      <c r="R12" s="150" t="s">
        <v>630</v>
      </c>
      <c r="S12" s="144">
        <f>IFERROR(INDEX('Employee Profile (2)'!$AC$4:$AC$50,MATCH(Results!$D$3,'Employee Profile (2)'!$B$4:$B$50,0))*$T12,"")</f>
        <v>26.69209809264305</v>
      </c>
      <c r="T12" s="147">
        <f>IFERROR(SUMIFS('Employee Profile (2)'!Q$4:Q$50,'Employee Profile (2)'!$B$4:$B$50,Results!$D$3),"")</f>
        <v>8.4468664850136238E-2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13.776566757493187</v>
      </c>
      <c r="Z12" s="147">
        <f>IFERROR(SUMIFS('Employee Profile (2)'!Y$4:Y$50,'Employee Profile (2)'!$B$4:$B$50,Results!$D$3),"")</f>
        <v>4.3596730245231606E-2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3.4441416893732968</v>
      </c>
      <c r="N13" s="148">
        <f>IFERROR(SUMIFS('Employee Profile (2)'!G$4:G$50,'Employee Profile (2)'!$B$4:$B$50,Results!$D$3),"")</f>
        <v>1.0899182561307902E-2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74.049046321525879</v>
      </c>
      <c r="T13" s="147">
        <f>IFERROR(SUMIFS('Employee Profile (2)'!R$4:R$50,'Employee Profile (2)'!$B$4:$B$50,Results!$D$3),"")</f>
        <v>0.23433242506811988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45.634877384196187</v>
      </c>
      <c r="Z13" s="147">
        <f>IFERROR(SUMIFS('Employee Profile (2)'!Z$4:Z$50,'Employee Profile (2)'!$B$4:$B$50,Results!$D$3),"")</f>
        <v>0.1444141689373297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45.634877384196187</v>
      </c>
      <c r="N15" s="148">
        <f>IFERROR(SUMIFS('Employee Profile (2)'!I$4:I$50,'Employee Profile (2)'!$B$4:$B$50,Results!$D$3),"")</f>
        <v>0.1444141689373297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122</v>
      </c>
      <c r="G29" s="87">
        <f t="shared" ref="G29:G44" si="4">SUMIFS($K$64:$K$509,$A$64:$A$509,B29,$C$64:$C$509,"Total")</f>
        <v>374.55584254098363</v>
      </c>
      <c r="H29" s="83">
        <f t="shared" ref="H29:H44" si="5">SUMIFS($J$64:$J$509,$A$64:$A$509,B29,$C$64:$C$509,"Total")</f>
        <v>45695.812790000004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122</v>
      </c>
      <c r="K29" s="88">
        <f t="shared" ref="K29:K44" si="8">SUMIFS($M$64:$M$509,$A$64:$A$509,$B29,$C$64:$C$509,"Total")</f>
        <v>402.93562302307777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49158.146008815485</v>
      </c>
      <c r="N29" s="88">
        <f t="shared" ref="N29:N44" si="11">SUMIFS($S$64:$S$509,$A$64:$A$509,$B29,$C$64:$C$509,"Compensation Budget")</f>
        <v>73812</v>
      </c>
      <c r="O29" s="89">
        <f t="shared" ref="O29:O44" si="12">SUMIFS($S$64:$S$509,$A$64:$A$509,$B29,$C$64:$C$509,"Under/(Over)")</f>
        <v>24653.853991184515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122</v>
      </c>
      <c r="R29" s="88">
        <f t="shared" ref="R29:R44" si="15">SUMIFS($U$64:$U$509,$A$64:$A$509,$B29,$C$64:$C$509,"Total")</f>
        <v>435.9952024724733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53191.414701641741</v>
      </c>
      <c r="U29" s="88">
        <f t="shared" ref="U29:U44" si="18">SUMIFS($AA$64:$AA$509,$A$64:$A$509,$B29,$C$64:$C$509,"Compensation Budget")</f>
        <v>84985</v>
      </c>
      <c r="V29" s="89">
        <f t="shared" ref="V29:V44" si="19">SUMIFS($AA$64:$AA$509,$A$64:$A$509,$B29,$C$64:$C$509,"Under/(Over)")</f>
        <v>31793.585298358259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122</v>
      </c>
      <c r="Y29" s="88">
        <f t="shared" ref="Y29:Y44" si="22">SUMIFS($AC$64:$AC$509,$A$64:$A$509,$B29,$C$64:$C$509,"Total")</f>
        <v>471.33336226769808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57502.670196659165</v>
      </c>
      <c r="AB29" s="88">
        <f t="shared" ref="AB29:AB44" si="25">SUMIFS($AI$64:$AI$509,$A$64:$A$509,$B29,$C$64:$C$509,"Compensation Budget")</f>
        <v>96611</v>
      </c>
      <c r="AC29" s="89">
        <f t="shared" ref="AC29:AC44" si="26">SUMIFS($AI$64:$AI$509,$A$64:$A$509,$B29,$C$64:$C$509,"Under/(Over)")</f>
        <v>39108.329803340835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122</v>
      </c>
      <c r="AF29" s="88">
        <f t="shared" ref="AF29:AF44" si="29">SUMIFS($AK$64:$AK$509,$A$64:$A$509,$B29,$C$64:$C$509,"Total")</f>
        <v>508.58870381345986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62047.821865242106</v>
      </c>
      <c r="AI29" s="88">
        <f t="shared" ref="AI29:AI44" si="32">SUMIFS($AQ$64:$AQ$509,$A$64:$A$509,$B29,$C$64:$C$509,"Compensation Budget")</f>
        <v>103953.436</v>
      </c>
      <c r="AJ29" s="89">
        <f t="shared" ref="AJ29:AJ44" si="33">SUMIFS($AQ$64:$AQ$509,$A$64:$A$509,$B29,$C$64:$C$509,"Under/(Over)")</f>
        <v>41905.614134757896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National Planning Coordination</v>
      </c>
      <c r="D30" s="222">
        <f t="shared" si="2"/>
        <v>0</v>
      </c>
      <c r="E30" s="223">
        <f t="shared" si="2"/>
        <v>0</v>
      </c>
      <c r="F30" s="80">
        <f t="shared" si="3"/>
        <v>90</v>
      </c>
      <c r="G30" s="155">
        <f t="shared" si="4"/>
        <v>674.60848199999998</v>
      </c>
      <c r="H30" s="155">
        <f t="shared" si="5"/>
        <v>60714.763379999997</v>
      </c>
      <c r="I30" s="23">
        <f t="shared" si="6"/>
        <v>0</v>
      </c>
      <c r="J30" s="22">
        <f t="shared" si="7"/>
        <v>90</v>
      </c>
      <c r="K30" s="22">
        <f t="shared" si="8"/>
        <v>718.11282975640904</v>
      </c>
      <c r="L30" s="22">
        <f t="shared" si="9"/>
        <v>0</v>
      </c>
      <c r="M30" s="22">
        <f t="shared" si="10"/>
        <v>64630.154678076811</v>
      </c>
      <c r="N30" s="22">
        <f t="shared" si="11"/>
        <v>80868</v>
      </c>
      <c r="O30" s="91">
        <f t="shared" si="12"/>
        <v>16237.845321923189</v>
      </c>
      <c r="P30" s="23">
        <f t="shared" si="13"/>
        <v>0</v>
      </c>
      <c r="Q30" s="22">
        <f t="shared" si="14"/>
        <v>90</v>
      </c>
      <c r="R30" s="22">
        <f t="shared" si="15"/>
        <v>775.78006800181379</v>
      </c>
      <c r="S30" s="22">
        <f t="shared" si="16"/>
        <v>0</v>
      </c>
      <c r="T30" s="22">
        <f t="shared" si="17"/>
        <v>69820.206120163246</v>
      </c>
      <c r="U30" s="22">
        <f t="shared" si="18"/>
        <v>91207</v>
      </c>
      <c r="V30" s="91">
        <f t="shared" si="19"/>
        <v>21386.793879836754</v>
      </c>
      <c r="W30" s="23">
        <f t="shared" si="20"/>
        <v>0</v>
      </c>
      <c r="X30" s="22">
        <f t="shared" si="21"/>
        <v>90</v>
      </c>
      <c r="Y30" s="22">
        <f t="shared" si="22"/>
        <v>837.30901643046298</v>
      </c>
      <c r="Z30" s="22">
        <f t="shared" si="23"/>
        <v>0</v>
      </c>
      <c r="AA30" s="22">
        <f t="shared" si="24"/>
        <v>75357.811478741671</v>
      </c>
      <c r="AB30" s="22">
        <f t="shared" si="25"/>
        <v>104519</v>
      </c>
      <c r="AC30" s="91">
        <f t="shared" si="26"/>
        <v>29161.188521258329</v>
      </c>
      <c r="AD30" s="23">
        <f t="shared" si="27"/>
        <v>0</v>
      </c>
      <c r="AE30" s="22">
        <f t="shared" si="28"/>
        <v>90</v>
      </c>
      <c r="AF30" s="22">
        <f t="shared" si="29"/>
        <v>902.03822454951364</v>
      </c>
      <c r="AG30" s="22">
        <f t="shared" si="30"/>
        <v>0</v>
      </c>
      <c r="AH30" s="22">
        <f t="shared" si="31"/>
        <v>81183.440209456225</v>
      </c>
      <c r="AI30" s="22">
        <f t="shared" si="32"/>
        <v>112462.444</v>
      </c>
      <c r="AJ30" s="91">
        <f t="shared" si="33"/>
        <v>31279.003790543778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Sector Planning and Monitoring</v>
      </c>
      <c r="D31" s="222">
        <f t="shared" si="2"/>
        <v>0</v>
      </c>
      <c r="E31" s="223">
        <f t="shared" si="2"/>
        <v>0</v>
      </c>
      <c r="F31" s="80">
        <f t="shared" si="3"/>
        <v>8</v>
      </c>
      <c r="G31" s="155">
        <f t="shared" si="4"/>
        <v>739.64002125000002</v>
      </c>
      <c r="H31" s="155">
        <f t="shared" si="5"/>
        <v>5917.1201700000001</v>
      </c>
      <c r="I31" s="23">
        <f t="shared" si="6"/>
        <v>0</v>
      </c>
      <c r="J31" s="22">
        <f t="shared" si="7"/>
        <v>8</v>
      </c>
      <c r="K31" s="22">
        <f t="shared" si="8"/>
        <v>791.30247733896283</v>
      </c>
      <c r="L31" s="22">
        <f t="shared" si="9"/>
        <v>0</v>
      </c>
      <c r="M31" s="22">
        <f t="shared" si="10"/>
        <v>6330.4198187117026</v>
      </c>
      <c r="N31" s="22">
        <f t="shared" si="11"/>
        <v>47845</v>
      </c>
      <c r="O31" s="91">
        <f t="shared" si="12"/>
        <v>41514.5801812883</v>
      </c>
      <c r="P31" s="23">
        <f t="shared" si="13"/>
        <v>0</v>
      </c>
      <c r="Q31" s="22">
        <f t="shared" si="14"/>
        <v>8</v>
      </c>
      <c r="R31" s="22">
        <f t="shared" si="15"/>
        <v>855.21010401580781</v>
      </c>
      <c r="S31" s="22">
        <f t="shared" si="16"/>
        <v>0</v>
      </c>
      <c r="T31" s="22">
        <f t="shared" si="17"/>
        <v>6841.6808321264625</v>
      </c>
      <c r="U31" s="22">
        <f t="shared" si="18"/>
        <v>53305</v>
      </c>
      <c r="V31" s="91">
        <f t="shared" si="19"/>
        <v>46463.319167873538</v>
      </c>
      <c r="W31" s="23">
        <f t="shared" si="20"/>
        <v>0</v>
      </c>
      <c r="X31" s="22">
        <f t="shared" si="21"/>
        <v>8</v>
      </c>
      <c r="Y31" s="22">
        <f t="shared" si="22"/>
        <v>923.430660125234</v>
      </c>
      <c r="Z31" s="22">
        <f t="shared" si="23"/>
        <v>0</v>
      </c>
      <c r="AA31" s="22">
        <f t="shared" si="24"/>
        <v>7387.445281001872</v>
      </c>
      <c r="AB31" s="22">
        <f t="shared" si="25"/>
        <v>60072</v>
      </c>
      <c r="AC31" s="91">
        <f t="shared" si="26"/>
        <v>52684.55471899813</v>
      </c>
      <c r="AD31" s="23">
        <f t="shared" si="27"/>
        <v>0</v>
      </c>
      <c r="AE31" s="22">
        <f t="shared" si="28"/>
        <v>8</v>
      </c>
      <c r="AF31" s="22">
        <f t="shared" si="29"/>
        <v>995.24019660650686</v>
      </c>
      <c r="AG31" s="22">
        <f t="shared" si="30"/>
        <v>0</v>
      </c>
      <c r="AH31" s="22">
        <f t="shared" si="31"/>
        <v>7961.9215728520549</v>
      </c>
      <c r="AI31" s="22">
        <f t="shared" si="32"/>
        <v>64637.472000000002</v>
      </c>
      <c r="AJ31" s="91">
        <f t="shared" si="33"/>
        <v>56675.550427147944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Institutional Performance Monitoring &amp; Capacity Development</v>
      </c>
      <c r="D32" s="222">
        <f t="shared" si="2"/>
        <v>0</v>
      </c>
      <c r="E32" s="223">
        <f t="shared" si="2"/>
        <v>0</v>
      </c>
      <c r="F32" s="80">
        <f t="shared" si="3"/>
        <v>91</v>
      </c>
      <c r="G32" s="155">
        <f t="shared" si="4"/>
        <v>629.32159879120877</v>
      </c>
      <c r="H32" s="155">
        <f t="shared" si="5"/>
        <v>57268.265489999998</v>
      </c>
      <c r="I32" s="23">
        <f t="shared" si="6"/>
        <v>0</v>
      </c>
      <c r="J32" s="22">
        <f t="shared" si="7"/>
        <v>91</v>
      </c>
      <c r="K32" s="22">
        <f t="shared" si="8"/>
        <v>673.62607146388928</v>
      </c>
      <c r="L32" s="22">
        <f t="shared" si="9"/>
        <v>0</v>
      </c>
      <c r="M32" s="22">
        <f t="shared" si="10"/>
        <v>61299.972503213925</v>
      </c>
      <c r="N32" s="22">
        <f t="shared" si="11"/>
        <v>39772</v>
      </c>
      <c r="O32" s="91">
        <f t="shared" si="12"/>
        <v>-21527.972503213925</v>
      </c>
      <c r="P32" s="23">
        <f t="shared" si="13"/>
        <v>0</v>
      </c>
      <c r="Q32" s="22">
        <f t="shared" si="14"/>
        <v>91</v>
      </c>
      <c r="R32" s="22">
        <f t="shared" si="15"/>
        <v>728.09228402768724</v>
      </c>
      <c r="S32" s="22">
        <f t="shared" si="16"/>
        <v>0</v>
      </c>
      <c r="T32" s="22">
        <f t="shared" si="17"/>
        <v>66256.39784651954</v>
      </c>
      <c r="U32" s="22">
        <f t="shared" si="18"/>
        <v>45009</v>
      </c>
      <c r="V32" s="91">
        <f t="shared" si="19"/>
        <v>-21247.39784651954</v>
      </c>
      <c r="W32" s="23">
        <f t="shared" si="20"/>
        <v>0</v>
      </c>
      <c r="X32" s="22">
        <f t="shared" si="21"/>
        <v>91</v>
      </c>
      <c r="Y32" s="22">
        <f t="shared" si="22"/>
        <v>786.24076059315121</v>
      </c>
      <c r="Z32" s="22">
        <f t="shared" si="23"/>
        <v>0</v>
      </c>
      <c r="AA32" s="22">
        <f t="shared" si="24"/>
        <v>71547.90921397676</v>
      </c>
      <c r="AB32" s="22">
        <f t="shared" si="25"/>
        <v>51796</v>
      </c>
      <c r="AC32" s="91">
        <f t="shared" si="26"/>
        <v>-19751.90921397676</v>
      </c>
      <c r="AD32" s="23">
        <f t="shared" si="27"/>
        <v>0</v>
      </c>
      <c r="AE32" s="22">
        <f t="shared" si="28"/>
        <v>91</v>
      </c>
      <c r="AF32" s="22">
        <f t="shared" si="29"/>
        <v>847.45629828311064</v>
      </c>
      <c r="AG32" s="22">
        <f t="shared" si="30"/>
        <v>0</v>
      </c>
      <c r="AH32" s="22">
        <f t="shared" si="31"/>
        <v>77118.523143763072</v>
      </c>
      <c r="AI32" s="22">
        <f t="shared" si="32"/>
        <v>55732.496000000006</v>
      </c>
      <c r="AJ32" s="91">
        <f t="shared" si="33"/>
        <v>-21386.027143763065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Frontline &amp; Citizen-based Service Delivery and Monitoring</v>
      </c>
      <c r="D33" s="222">
        <f t="shared" si="2"/>
        <v>0</v>
      </c>
      <c r="E33" s="223">
        <f t="shared" si="2"/>
        <v>0</v>
      </c>
      <c r="F33" s="80">
        <f t="shared" si="3"/>
        <v>5</v>
      </c>
      <c r="G33" s="155">
        <f t="shared" si="4"/>
        <v>398.94126599999998</v>
      </c>
      <c r="H33" s="155">
        <f t="shared" si="5"/>
        <v>1994.70633</v>
      </c>
      <c r="I33" s="23">
        <f t="shared" si="6"/>
        <v>0</v>
      </c>
      <c r="J33" s="22">
        <f t="shared" si="7"/>
        <v>5</v>
      </c>
      <c r="K33" s="22">
        <f t="shared" si="8"/>
        <v>422.36909823671476</v>
      </c>
      <c r="L33" s="22">
        <f t="shared" si="9"/>
        <v>0</v>
      </c>
      <c r="M33" s="22">
        <f t="shared" si="10"/>
        <v>2111.8454911835738</v>
      </c>
      <c r="N33" s="22">
        <f t="shared" si="11"/>
        <v>4253</v>
      </c>
      <c r="O33" s="91">
        <f t="shared" si="12"/>
        <v>2141.1545088164262</v>
      </c>
      <c r="P33" s="23">
        <f t="shared" si="13"/>
        <v>0</v>
      </c>
      <c r="Q33" s="22">
        <f t="shared" si="14"/>
        <v>5</v>
      </c>
      <c r="R33" s="22">
        <f t="shared" si="15"/>
        <v>455.27365958355824</v>
      </c>
      <c r="S33" s="22">
        <f t="shared" si="16"/>
        <v>0</v>
      </c>
      <c r="T33" s="22">
        <f t="shared" si="17"/>
        <v>2276.3682979177911</v>
      </c>
      <c r="U33" s="22">
        <f t="shared" si="18"/>
        <v>4657</v>
      </c>
      <c r="V33" s="91">
        <f t="shared" si="19"/>
        <v>2380.6317020822089</v>
      </c>
      <c r="W33" s="23">
        <f t="shared" si="20"/>
        <v>0</v>
      </c>
      <c r="X33" s="22">
        <f t="shared" si="21"/>
        <v>5</v>
      </c>
      <c r="Y33" s="22">
        <f t="shared" si="22"/>
        <v>490.28864576972319</v>
      </c>
      <c r="Z33" s="22">
        <f t="shared" si="23"/>
        <v>0</v>
      </c>
      <c r="AA33" s="22">
        <f t="shared" si="24"/>
        <v>2451.4432288486159</v>
      </c>
      <c r="AB33" s="22">
        <f t="shared" si="25"/>
        <v>5999</v>
      </c>
      <c r="AC33" s="91">
        <f t="shared" si="26"/>
        <v>3547.5567711513841</v>
      </c>
      <c r="AD33" s="23">
        <f t="shared" si="27"/>
        <v>0</v>
      </c>
      <c r="AE33" s="22">
        <f t="shared" si="28"/>
        <v>5</v>
      </c>
      <c r="AF33" s="22">
        <f t="shared" si="29"/>
        <v>527.01157448866502</v>
      </c>
      <c r="AG33" s="22">
        <f t="shared" si="30"/>
        <v>0</v>
      </c>
      <c r="AH33" s="22">
        <f t="shared" si="31"/>
        <v>2635.0578724433249</v>
      </c>
      <c r="AI33" s="22">
        <f t="shared" si="32"/>
        <v>6454.924</v>
      </c>
      <c r="AJ33" s="91">
        <f t="shared" si="33"/>
        <v>3819.8661275566751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Evidence &amp; Knowledge Systems</v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National Youth Development</v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316</v>
      </c>
      <c r="G45" s="92">
        <f>IFERROR(H45/F45,0)</f>
        <v>543.00844354430376</v>
      </c>
      <c r="H45" s="92">
        <f>SUM(H29:H38)</f>
        <v>171590.66815999997</v>
      </c>
      <c r="I45" s="25">
        <f>SUM(I29:I38)</f>
        <v>0</v>
      </c>
      <c r="J45" s="92">
        <f>SUM(J29:J38)</f>
        <v>316</v>
      </c>
      <c r="K45" s="92">
        <f>IFERROR(M45/J45,0)</f>
        <v>580.79284335443504</v>
      </c>
      <c r="L45" s="92">
        <f t="shared" ref="L45:Q45" si="34">SUM(L29:L38)</f>
        <v>0</v>
      </c>
      <c r="M45" s="92">
        <f t="shared" si="34"/>
        <v>183530.53850000148</v>
      </c>
      <c r="N45" s="92">
        <f>INDEX('ENE17'!$C$2:$C$48,MATCH(Results!$D$3,'ENE17'!$A$2:$A$48,0))</f>
        <v>216495</v>
      </c>
      <c r="O45" s="129">
        <f>N45-M45</f>
        <v>32964.461499998521</v>
      </c>
      <c r="P45" s="25">
        <f t="shared" si="34"/>
        <v>0</v>
      </c>
      <c r="Q45" s="24">
        <f t="shared" si="34"/>
        <v>316</v>
      </c>
      <c r="R45" s="92">
        <f>IFERROR(T45/Q45,0)</f>
        <v>627.80401202015435</v>
      </c>
      <c r="S45" s="24">
        <f>SUM(S29:S38)</f>
        <v>0</v>
      </c>
      <c r="T45" s="24">
        <f>SUM(T29:T38)</f>
        <v>198386.06779836878</v>
      </c>
      <c r="U45" s="207">
        <f>INDEX('ENE17'!$D$2:$D$48,MATCH(Results!$D$3,'ENE17'!$A$2:$A$48,0))</f>
        <v>276092</v>
      </c>
      <c r="V45" s="24">
        <f>U45-T45</f>
        <v>77705.932201631222</v>
      </c>
      <c r="W45" s="25">
        <f t="shared" ref="W45:X45" si="35">SUM(W29:W38)</f>
        <v>0</v>
      </c>
      <c r="X45" s="24">
        <f t="shared" si="35"/>
        <v>316</v>
      </c>
      <c r="Y45" s="92">
        <f>IFERROR(AA45/X45,0)</f>
        <v>677.9977196178105</v>
      </c>
      <c r="Z45" s="24">
        <f t="shared" ref="Z45:AA45" si="36">SUM(Z29:Z38)</f>
        <v>0</v>
      </c>
      <c r="AA45" s="24">
        <f t="shared" si="36"/>
        <v>214247.27939922811</v>
      </c>
      <c r="AB45" s="207">
        <f>INDEX('ENE17'!$E$2:$E$48,MATCH(Results!$D$3,'ENE17'!$A$2:$A$48,0))</f>
        <v>273398</v>
      </c>
      <c r="AC45" s="24">
        <f>AB45-AA45</f>
        <v>59150.720600771892</v>
      </c>
      <c r="AD45" s="25">
        <f t="shared" ref="AD45:AE45" si="37">SUM(AD29:AD38)</f>
        <v>0</v>
      </c>
      <c r="AE45" s="24">
        <f t="shared" si="37"/>
        <v>316</v>
      </c>
      <c r="AF45" s="92">
        <f>IFERROR(AH45/AE45,0)</f>
        <v>730.84419197391389</v>
      </c>
      <c r="AG45" s="24">
        <f t="shared" ref="AG45:AH45" si="38">SUM(AG29:AG38)</f>
        <v>0</v>
      </c>
      <c r="AH45" s="24">
        <f t="shared" si="38"/>
        <v>230946.7646637568</v>
      </c>
      <c r="AI45" s="207">
        <f>INDEX('ENE17'!$F$2:$F$48,MATCH(Results!$D$3,'ENE17'!$A$2:$A$48,0))</f>
        <v>331556</v>
      </c>
      <c r="AJ45" s="24">
        <f>AI45-AH45</f>
        <v>100609.2353362432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69</v>
      </c>
      <c r="G51" s="193">
        <f>IFERROR(H51/F51,"")</f>
        <v>130.52490782608695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9006.2186399999991</v>
      </c>
      <c r="I51" s="97">
        <f>SUMIFS($N$64:$N$509,$B$64:$B$509,$B51)-SUMIFS($O$64:$O$509,$B$64:$B$509,$B51)</f>
        <v>0</v>
      </c>
      <c r="J51" s="80">
        <f>SUMIFS($P$64:$P$509,$B$64:$B$509,$B51)</f>
        <v>69</v>
      </c>
      <c r="K51" s="80">
        <f>IFERROR(M51/J51,0)</f>
        <v>141.95565623924986</v>
      </c>
      <c r="L51" s="80">
        <f>SUMIFS($R$64:$R$509,$B$64:$B$509,$B51)+SUMIFS($Q$64:$Q$509,$B$64:$B$509,$B51)</f>
        <v>0</v>
      </c>
      <c r="M51" s="98">
        <f>SUMIFS($S$64:$S$509,$B$64:$B$509,$B51)</f>
        <v>9794.9402805082409</v>
      </c>
      <c r="N51" s="80">
        <f>SUMIFS($V$64:$V$509,$B$64:$B$509,$B51)-SUMIFS($W$64:$W$509,$B$64:$B$509,$B51)</f>
        <v>0</v>
      </c>
      <c r="O51" s="80">
        <f>SUMIFS($X$64:$X$509,$B$64:$B$509,$B51)</f>
        <v>69</v>
      </c>
      <c r="P51" s="80">
        <f>IFERROR(R51/O51,0)</f>
        <v>153.98612615287703</v>
      </c>
      <c r="Q51" s="80">
        <f>SUMIFS($Z$64:$Z$509,$B$64:$B$509,$B51)+SUMIFS($Y$64:$Y$509,$B$64:$B$509,$B51)</f>
        <v>0</v>
      </c>
      <c r="R51" s="80">
        <f>SUMIFS($AA$64:$AA$509,$B$64:$B$509,$B51)</f>
        <v>10625.042704548516</v>
      </c>
      <c r="S51" s="97">
        <f>SUMIFS($AD$64:$AD$509,$B$64:$B$509,$B51)-SUMIFS($AE$64:$AE$509,$B$64:$B$509,$B51)</f>
        <v>0</v>
      </c>
      <c r="T51" s="80">
        <f>SUMIFS($AF$64:$AF$509,$B$64:$B$509,$B51)</f>
        <v>69</v>
      </c>
      <c r="U51" s="80">
        <f>IFERROR(W51/T51,0)</f>
        <v>166.88014792309536</v>
      </c>
      <c r="V51" s="80">
        <f>SUMIFS($AH$64:$AH$509,$B$64:$B$509,$B51)+SUMIFS($AG$64:$AG$509,$B$64:$B$509,$B51)</f>
        <v>0</v>
      </c>
      <c r="W51" s="98">
        <f>SUMIFS($AI$64:$AI$509,$B$64:$B$509,$B51)</f>
        <v>11514.730206693581</v>
      </c>
      <c r="X51" s="80">
        <f>SUMIFS($AL$64:$AL$509,$B$64:$B$509,$B51)-SUMIFS($AM$64:$AM$509,$B$64:$B$509,$B51)</f>
        <v>0</v>
      </c>
      <c r="Y51" s="80">
        <f>SUMIFS($AN$64:$AN$509,$B$64:$B$509,$B51)</f>
        <v>69</v>
      </c>
      <c r="Z51" s="80">
        <f>IFERROR(AB51/Y51,0)</f>
        <v>180.51564982863241</v>
      </c>
      <c r="AA51" s="80">
        <f>SUMIFS($AP$64:$AP$509,$B$64:$B$509,$B51)+SUMIFS($AO$64:$AO$509,$B$64:$B$509,$B51)</f>
        <v>0</v>
      </c>
      <c r="AB51" s="98">
        <f>SUMIFS($AQ$64:$AQ$509,$B$64:$B$509,$B51)</f>
        <v>12455.579838175636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104</v>
      </c>
      <c r="G52" s="192">
        <f t="shared" ref="G52:G55" si="40">IFERROR(H52/F52,"")</f>
        <v>351.01775298076916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36505.846309999994</v>
      </c>
      <c r="I52" s="97">
        <f>SUMIFS($N$64:$N$509,$B$64:$B$509,$B52)-SUMIFS($O$64:$O$509,$B$64:$B$509,$B52)</f>
        <v>0</v>
      </c>
      <c r="J52" s="80">
        <f>SUMIFS($P$64:$P$509,$B$64:$B$509,$B52)</f>
        <v>104</v>
      </c>
      <c r="K52" s="80">
        <f t="shared" ref="K52:K56" si="41">IFERROR(M52/J52,0)</f>
        <v>382.350529329739</v>
      </c>
      <c r="L52" s="80">
        <f>SUMIFS($R$64:$R$509,$B$64:$B$509,$B52)+SUMIFS($Q$64:$Q$509,$B$64:$B$509,$B52)</f>
        <v>0</v>
      </c>
      <c r="M52" s="98">
        <f>SUMIFS($S$64:$S$509,$B$64:$B$509,$B52)</f>
        <v>39764.455050292854</v>
      </c>
      <c r="N52" s="80">
        <f>SUMIFS($V$64:$V$509,$B$64:$B$509,$B52)-SUMIFS($W$64:$W$509,$B$64:$B$509,$B52)</f>
        <v>0</v>
      </c>
      <c r="O52" s="80">
        <f>SUMIFS($X$64:$X$509,$B$64:$B$509,$B52)</f>
        <v>104</v>
      </c>
      <c r="P52" s="80">
        <f t="shared" ref="P52:P55" si="42">IFERROR(R52/O52,0)</f>
        <v>414.93788454091907</v>
      </c>
      <c r="Q52" s="80">
        <f>SUMIFS($Z$64:$Z$509,$B$64:$B$509,$B52)+SUMIFS($Y$64:$Y$509,$B$64:$B$509,$B52)</f>
        <v>0</v>
      </c>
      <c r="R52" s="80">
        <f>SUMIFS($AA$64:$AA$509,$B$64:$B$509,$B52)</f>
        <v>43153.539992255581</v>
      </c>
      <c r="S52" s="97">
        <f>SUMIFS($AD$64:$AD$509,$B$64:$B$509,$B52)-SUMIFS($AE$64:$AE$509,$B$64:$B$509,$B52)</f>
        <v>0</v>
      </c>
      <c r="T52" s="80">
        <f>SUMIFS($AF$64:$AF$509,$B$64:$B$509,$B52)</f>
        <v>104</v>
      </c>
      <c r="U52" s="80">
        <f t="shared" ref="U52:U55" si="43">IFERROR(W52/T52,0)</f>
        <v>449.88189346092179</v>
      </c>
      <c r="V52" s="80">
        <f>SUMIFS($AH$64:$AH$509,$B$64:$B$509,$B52)+SUMIFS($AG$64:$AG$509,$B$64:$B$509,$B52)</f>
        <v>0</v>
      </c>
      <c r="W52" s="98">
        <f>SUMIFS($AI$64:$AI$509,$B$64:$B$509,$B52)</f>
        <v>46787.716919935869</v>
      </c>
      <c r="X52" s="80">
        <f>SUMIFS($AL$64:$AL$509,$B$64:$B$509,$B52)-SUMIFS($AM$64:$AM$509,$B$64:$B$509,$B52)</f>
        <v>0</v>
      </c>
      <c r="Y52" s="80">
        <f>SUMIFS($AN$64:$AN$509,$B$64:$B$509,$B52)</f>
        <v>104</v>
      </c>
      <c r="Z52" s="80">
        <f t="shared" ref="Z52:Z55" si="44">IFERROR(AB52/Y52,0)</f>
        <v>486.85636298708835</v>
      </c>
      <c r="AA52" s="80">
        <f>SUMIFS($AP$64:$AP$509,$B$64:$B$509,$B52)+SUMIFS($AO$64:$AO$509,$B$64:$B$509,$B52)</f>
        <v>0</v>
      </c>
      <c r="AB52" s="98">
        <f>SUMIFS($AQ$64:$AQ$509,$B$64:$B$509,$B52)</f>
        <v>50633.061750657187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67</v>
      </c>
      <c r="G53" s="192">
        <f t="shared" si="40"/>
        <v>692.71449164179114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46411.870940000008</v>
      </c>
      <c r="I53" s="97">
        <f>SUMIFS($N$64:$N$509,$B$64:$B$509,$B53)-SUMIFS($O$64:$O$509,$B$64:$B$509,$B53)</f>
        <v>0</v>
      </c>
      <c r="J53" s="80">
        <f>SUMIFS($P$64:$P$509,$B$64:$B$509,$B53)</f>
        <v>67</v>
      </c>
      <c r="K53" s="80">
        <f t="shared" si="41"/>
        <v>753.26384628920016</v>
      </c>
      <c r="L53" s="80">
        <f>SUMIFS($R$64:$R$509,$B$64:$B$509,$B53)+SUMIFS($Q$64:$Q$509,$B$64:$B$509,$B53)</f>
        <v>0</v>
      </c>
      <c r="M53" s="98">
        <f>SUMIFS($S$64:$S$509,$B$64:$B$509,$B53)</f>
        <v>50468.677701376408</v>
      </c>
      <c r="N53" s="80">
        <f>SUMIFS($V$64:$V$509,$B$64:$B$509,$B53)-SUMIFS($W$64:$W$509,$B$64:$B$509,$B53)</f>
        <v>0</v>
      </c>
      <c r="O53" s="80">
        <f>SUMIFS($X$64:$X$509,$B$64:$B$509,$B53)</f>
        <v>67</v>
      </c>
      <c r="P53" s="80">
        <f t="shared" si="42"/>
        <v>817.86533921625164</v>
      </c>
      <c r="Q53" s="80">
        <f>SUMIFS($Z$64:$Z$509,$B$64:$B$509,$B53)+SUMIFS($Y$64:$Y$509,$B$64:$B$509,$B53)</f>
        <v>0</v>
      </c>
      <c r="R53" s="80">
        <f>SUMIFS($AA$64:$AA$509,$B$64:$B$509,$B53)</f>
        <v>54796.977727488862</v>
      </c>
      <c r="S53" s="97">
        <f>SUMIFS($AD$64:$AD$509,$B$64:$B$509,$B53)-SUMIFS($AE$64:$AE$509,$B$64:$B$509,$B53)</f>
        <v>0</v>
      </c>
      <c r="T53" s="80">
        <f>SUMIFS($AF$64:$AF$509,$B$64:$B$509,$B53)</f>
        <v>67</v>
      </c>
      <c r="U53" s="80">
        <f t="shared" si="43"/>
        <v>887.17728340399242</v>
      </c>
      <c r="V53" s="80">
        <f>SUMIFS($AH$64:$AH$509,$B$64:$B$509,$B53)+SUMIFS($AG$64:$AG$509,$B$64:$B$509,$B53)</f>
        <v>0</v>
      </c>
      <c r="W53" s="98">
        <f>SUMIFS($AI$64:$AI$509,$B$64:$B$509,$B53)</f>
        <v>59440.877988067492</v>
      </c>
      <c r="X53" s="80">
        <f>SUMIFS($AL$64:$AL$509,$B$64:$B$509,$B53)-SUMIFS($AM$64:$AM$509,$B$64:$B$509,$B53)</f>
        <v>0</v>
      </c>
      <c r="Y53" s="80">
        <f>SUMIFS($AN$64:$AN$509,$B$64:$B$509,$B53)</f>
        <v>67</v>
      </c>
      <c r="Z53" s="80">
        <f t="shared" si="44"/>
        <v>960.56274562773388</v>
      </c>
      <c r="AA53" s="80">
        <f>SUMIFS($AP$64:$AP$509,$B$64:$B$509,$B53)+SUMIFS($AO$64:$AO$509,$B$64:$B$509,$B53)</f>
        <v>0</v>
      </c>
      <c r="AB53" s="98">
        <f>SUMIFS($AQ$64:$AQ$509,$B$64:$B$509,$B53)</f>
        <v>64357.703957058169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76</v>
      </c>
      <c r="G54" s="192">
        <f t="shared" si="40"/>
        <v>1048.2464772368419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79666.732269999979</v>
      </c>
      <c r="I54" s="97">
        <f>SUMIFS($N$64:$N$509,$B$64:$B$509,$B54)-SUMIFS($O$64:$O$509,$B$64:$B$509,$B54)</f>
        <v>0</v>
      </c>
      <c r="J54" s="80">
        <f>SUMIFS($P$64:$P$509,$B$64:$B$509,$B54)</f>
        <v>76</v>
      </c>
      <c r="K54" s="80">
        <f t="shared" si="41"/>
        <v>1098.7166508924208</v>
      </c>
      <c r="L54" s="80">
        <f>SUMIFS($R$64:$R$509,$B$64:$B$509,$B54)+SUMIFS($Q$64:$Q$509,$B$64:$B$509,$B54)</f>
        <v>0</v>
      </c>
      <c r="M54" s="98">
        <f>SUMIFS($S$64:$S$509,$B$64:$B$509,$B54)</f>
        <v>83502.465467823989</v>
      </c>
      <c r="N54" s="80">
        <f>SUMIFS($V$64:$V$509,$B$64:$B$509,$B54)-SUMIFS($W$64:$W$509,$B$64:$B$509,$B54)</f>
        <v>0</v>
      </c>
      <c r="O54" s="80">
        <f>SUMIFS($X$64:$X$509,$B$64:$B$509,$B54)</f>
        <v>76</v>
      </c>
      <c r="P54" s="80">
        <f t="shared" si="42"/>
        <v>1181.7172022904715</v>
      </c>
      <c r="Q54" s="80">
        <f>SUMIFS($Z$64:$Z$509,$B$64:$B$509,$B54)+SUMIFS($Y$64:$Y$509,$B$64:$B$509,$B54)</f>
        <v>0</v>
      </c>
      <c r="R54" s="80">
        <f>SUMIFS($AA$64:$AA$509,$B$64:$B$509,$B54)</f>
        <v>89810.507374075838</v>
      </c>
      <c r="S54" s="97">
        <f>SUMIFS($AD$64:$AD$509,$B$64:$B$509,$B54)-SUMIFS($AE$64:$AE$509,$B$64:$B$509,$B54)</f>
        <v>0</v>
      </c>
      <c r="T54" s="80">
        <f>SUMIFS($AF$64:$AF$509,$B$64:$B$509,$B54)</f>
        <v>76</v>
      </c>
      <c r="U54" s="80">
        <f t="shared" si="43"/>
        <v>1269.7888721648833</v>
      </c>
      <c r="V54" s="80">
        <f>SUMIFS($AH$64:$AH$509,$B$64:$B$509,$B54)+SUMIFS($AG$64:$AG$509,$B$64:$B$509,$B54)</f>
        <v>0</v>
      </c>
      <c r="W54" s="98">
        <f>SUMIFS($AI$64:$AI$509,$B$64:$B$509,$B54)</f>
        <v>96503.954284531123</v>
      </c>
      <c r="X54" s="80">
        <f>SUMIFS($AL$64:$AL$509,$B$64:$B$509,$B54)-SUMIFS($AM$64:$AM$509,$B$64:$B$509,$B54)</f>
        <v>0</v>
      </c>
      <c r="Y54" s="80">
        <f>SUMIFS($AN$64:$AN$509,$B$64:$B$509,$B54)</f>
        <v>76</v>
      </c>
      <c r="Z54" s="80">
        <f t="shared" si="44"/>
        <v>1361.8476199719189</v>
      </c>
      <c r="AA54" s="80">
        <f>SUMIFS($AP$64:$AP$509,$B$64:$B$509,$B54)+SUMIFS($AO$64:$AO$509,$B$64:$B$509,$B54)</f>
        <v>0</v>
      </c>
      <c r="AB54" s="98">
        <f>SUMIFS($AQ$64:$AQ$509,$B$64:$B$509,$B54)</f>
        <v>103500.41911786584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316</v>
      </c>
      <c r="G56" s="92">
        <f t="shared" ref="G56" si="45">IFERROR(H56/F56,0)</f>
        <v>543.00844354430376</v>
      </c>
      <c r="H56" s="92">
        <f>SUM(H51:H55)</f>
        <v>171590.66815999997</v>
      </c>
      <c r="I56" s="92">
        <f>SUM(I51:I55)</f>
        <v>0</v>
      </c>
      <c r="J56" s="92">
        <f>SUM(J51:J55)</f>
        <v>316</v>
      </c>
      <c r="K56" s="92">
        <f t="shared" si="41"/>
        <v>580.79284335443504</v>
      </c>
      <c r="L56" s="92">
        <f>SUM(L51:L55)</f>
        <v>0</v>
      </c>
      <c r="M56" s="92">
        <f>SUM(M51:M55)</f>
        <v>183530.53850000148</v>
      </c>
      <c r="N56" s="92">
        <f t="shared" ref="N56:O56" si="46">SUM(N51:N55)</f>
        <v>0</v>
      </c>
      <c r="O56" s="92">
        <f t="shared" si="46"/>
        <v>316</v>
      </c>
      <c r="P56" s="92">
        <f>IFERROR(R56/O56,0)</f>
        <v>627.80401202015446</v>
      </c>
      <c r="Q56" s="92">
        <f t="shared" ref="Q56" si="47">SUM(Q51:Q55)</f>
        <v>0</v>
      </c>
      <c r="R56" s="92">
        <f t="shared" ref="R56:T56" si="48">SUM(R51:R55)</f>
        <v>198386.06779836881</v>
      </c>
      <c r="S56" s="92">
        <f t="shared" si="48"/>
        <v>0</v>
      </c>
      <c r="T56" s="92">
        <f t="shared" si="48"/>
        <v>316</v>
      </c>
      <c r="U56" s="92">
        <f>IFERROR(W56/T56,0)</f>
        <v>677.99771961781028</v>
      </c>
      <c r="V56" s="92">
        <f t="shared" ref="V56" si="49">SUM(V51:V55)</f>
        <v>0</v>
      </c>
      <c r="W56" s="92">
        <f t="shared" ref="W56:Y56" si="50">SUM(W51:W55)</f>
        <v>214247.27939922805</v>
      </c>
      <c r="X56" s="92">
        <f t="shared" si="50"/>
        <v>0</v>
      </c>
      <c r="Y56" s="92">
        <f t="shared" si="50"/>
        <v>316</v>
      </c>
      <c r="Z56" s="92">
        <f>IFERROR(AB56/Y56,0)</f>
        <v>730.84419197391401</v>
      </c>
      <c r="AA56" s="92">
        <f t="shared" ref="AA56" si="51">SUM(AA51:AA55)</f>
        <v>0</v>
      </c>
      <c r="AB56" s="104">
        <f t="shared" ref="AB56" si="52">SUM(AB51:AB55)</f>
        <v>230946.76466375683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4</v>
      </c>
      <c r="G64" s="35">
        <f>SUMIFS(WORKING!$AC$3:$AC$6802,WORKING!$A$3:$A$6802,Results!$D$3,WORKING!$B$3:$B$6802,Results!A64,WORKING!$C$3:$C$6802,Results!C64)/1000</f>
        <v>231.97916999999998</v>
      </c>
      <c r="H64" s="35">
        <f>IFERROR(G64/F64,0)</f>
        <v>57.994792499999996</v>
      </c>
      <c r="I64" s="156" t="s">
        <v>754</v>
      </c>
      <c r="J64" s="211" t="s">
        <v>754</v>
      </c>
      <c r="K64" s="217">
        <f>IFERROR(IF(J64="",G64,J64)/IF(I64="",F64,I64),"")</f>
        <v>57.994792499999996</v>
      </c>
      <c r="L64" s="34">
        <f t="shared" ref="L64:L80" si="54">IF(I64="",F64,I64)</f>
        <v>4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63.338432680949992</v>
      </c>
      <c r="N64" s="57">
        <v>0</v>
      </c>
      <c r="O64" s="57">
        <v>0</v>
      </c>
      <c r="P64" s="61">
        <f t="shared" ref="P64:P80" si="55">-O64+L64+N64</f>
        <v>4</v>
      </c>
      <c r="Q64" s="40">
        <f>M64*N64</f>
        <v>0</v>
      </c>
      <c r="R64" s="40">
        <f>-M64*O64</f>
        <v>0</v>
      </c>
      <c r="S64" s="44">
        <f>M64*P64</f>
        <v>253.35373072379997</v>
      </c>
      <c r="T64" s="35">
        <f>P64</f>
        <v>4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68.788704813145742</v>
      </c>
      <c r="V64" s="57">
        <v>0</v>
      </c>
      <c r="W64" s="57">
        <v>0</v>
      </c>
      <c r="X64" s="61">
        <f t="shared" ref="X64:X80" si="56">-W64+T64+V64</f>
        <v>4</v>
      </c>
      <c r="Y64" s="40">
        <f>U64*V64</f>
        <v>0</v>
      </c>
      <c r="Z64" s="40">
        <f>-U64*W64</f>
        <v>0</v>
      </c>
      <c r="AA64" s="44">
        <f>U64*X64</f>
        <v>275.15481925258297</v>
      </c>
      <c r="AB64" s="35">
        <f>X64</f>
        <v>4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74.638152326931575</v>
      </c>
      <c r="AD64" s="57">
        <v>0</v>
      </c>
      <c r="AE64" s="57">
        <v>0</v>
      </c>
      <c r="AF64" s="61">
        <f t="shared" ref="AF64:AF80" si="57">-AE64+AB64+AD64</f>
        <v>4</v>
      </c>
      <c r="AG64" s="40">
        <f>AC64*AD64</f>
        <v>0</v>
      </c>
      <c r="AH64" s="40">
        <f>-AC64*AE64</f>
        <v>0</v>
      </c>
      <c r="AI64" s="44">
        <f>AC64*AF64</f>
        <v>298.5526093077263</v>
      </c>
      <c r="AJ64" s="35">
        <f t="shared" ref="AJ64:AJ80" si="58">AF64</f>
        <v>4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80.833492160828513</v>
      </c>
      <c r="AL64" s="57">
        <v>0</v>
      </c>
      <c r="AM64" s="57">
        <v>0</v>
      </c>
      <c r="AN64" s="61">
        <f t="shared" ref="AN64:AN80" si="59">-AM64+AJ64+AL64</f>
        <v>4</v>
      </c>
      <c r="AO64" s="40">
        <f>AK64*AL64</f>
        <v>0</v>
      </c>
      <c r="AP64" s="40">
        <f>-AK64*AM64</f>
        <v>0</v>
      </c>
      <c r="AQ64" s="44">
        <f>AK64*AN64</f>
        <v>323.33396864331405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5</v>
      </c>
      <c r="G65" s="35">
        <f>SUMIFS(WORKING!$AC$3:$AC$6802,WORKING!$A$3:$A$6802,Results!$D$3,WORKING!$B$3:$B$6802,Results!A65,WORKING!$C$3:$C$6802,Results!C65)/1000</f>
        <v>739.74500999999998</v>
      </c>
      <c r="H65" s="35">
        <f t="shared" ref="H65:H80" si="60">IFERROR(G65/F65,0)</f>
        <v>147.94900200000001</v>
      </c>
      <c r="I65" s="187" t="s">
        <v>754</v>
      </c>
      <c r="J65" s="212" t="s">
        <v>754</v>
      </c>
      <c r="K65" s="217">
        <f t="shared" ref="K65:K80" si="61">IFERROR(IF(J65="",G65,J65)/IF(I65="",F65,I65),"")</f>
        <v>147.94900200000001</v>
      </c>
      <c r="L65" s="34">
        <f t="shared" si="54"/>
        <v>5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160.34704649885867</v>
      </c>
      <c r="N65" s="57">
        <v>0</v>
      </c>
      <c r="O65" s="57">
        <v>0</v>
      </c>
      <c r="P65" s="61">
        <f t="shared" si="55"/>
        <v>5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801.73523249429331</v>
      </c>
      <c r="T65" s="35">
        <f t="shared" ref="T65:T80" si="65">P65</f>
        <v>5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173.75992215851196</v>
      </c>
      <c r="V65" s="57">
        <v>0</v>
      </c>
      <c r="W65" s="57">
        <v>0</v>
      </c>
      <c r="X65" s="61">
        <f t="shared" si="56"/>
        <v>5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868.79961079255975</v>
      </c>
      <c r="AB65" s="35">
        <f t="shared" ref="AB65:AB80" si="69">X65</f>
        <v>5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188.11902351578036</v>
      </c>
      <c r="AD65" s="57">
        <v>0</v>
      </c>
      <c r="AE65" s="57">
        <v>0</v>
      </c>
      <c r="AF65" s="61">
        <f t="shared" si="57"/>
        <v>5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940.59511757890175</v>
      </c>
      <c r="AJ65" s="35">
        <f t="shared" si="58"/>
        <v>5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203.2841827586283</v>
      </c>
      <c r="AL65" s="57">
        <v>0</v>
      </c>
      <c r="AM65" s="57">
        <v>0</v>
      </c>
      <c r="AN65" s="61">
        <f t="shared" si="59"/>
        <v>5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1016.4209137931415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6</v>
      </c>
      <c r="G67" s="35">
        <f>SUMIFS(WORKING!$AC$3:$AC$6802,WORKING!$A$3:$A$6802,Results!$D$3,WORKING!$B$3:$B$6802,Results!A67,WORKING!$C$3:$C$6802,Results!C67)/1000</f>
        <v>812.03404999999998</v>
      </c>
      <c r="H67" s="35">
        <f t="shared" si="60"/>
        <v>135.33900833333334</v>
      </c>
      <c r="I67" s="187" t="s">
        <v>754</v>
      </c>
      <c r="J67" s="212" t="s">
        <v>754</v>
      </c>
      <c r="K67" s="217">
        <f t="shared" si="61"/>
        <v>135.33900833333334</v>
      </c>
      <c r="L67" s="34">
        <f t="shared" si="54"/>
        <v>6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146.95266275252217</v>
      </c>
      <c r="N67" s="57">
        <v>0</v>
      </c>
      <c r="O67" s="57">
        <v>0</v>
      </c>
      <c r="P67" s="61">
        <f t="shared" si="55"/>
        <v>6</v>
      </c>
      <c r="Q67" s="40">
        <f t="shared" si="62"/>
        <v>0</v>
      </c>
      <c r="R67" s="40">
        <f t="shared" si="63"/>
        <v>0</v>
      </c>
      <c r="S67" s="44">
        <f t="shared" si="64"/>
        <v>881.71597651513298</v>
      </c>
      <c r="T67" s="35">
        <f t="shared" si="65"/>
        <v>6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159.3311183738995</v>
      </c>
      <c r="V67" s="57">
        <v>0</v>
      </c>
      <c r="W67" s="57">
        <v>0</v>
      </c>
      <c r="X67" s="61">
        <f t="shared" si="56"/>
        <v>6</v>
      </c>
      <c r="Y67" s="40">
        <f t="shared" si="66"/>
        <v>0</v>
      </c>
      <c r="Z67" s="40">
        <f t="shared" si="67"/>
        <v>0</v>
      </c>
      <c r="AA67" s="44">
        <f t="shared" si="68"/>
        <v>955.98671024339706</v>
      </c>
      <c r="AB67" s="35">
        <f t="shared" si="69"/>
        <v>6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172.59094532119036</v>
      </c>
      <c r="AD67" s="57">
        <v>0</v>
      </c>
      <c r="AE67" s="57">
        <v>0</v>
      </c>
      <c r="AF67" s="61">
        <f t="shared" si="57"/>
        <v>6</v>
      </c>
      <c r="AG67" s="40">
        <f t="shared" si="70"/>
        <v>0</v>
      </c>
      <c r="AH67" s="40">
        <f t="shared" si="71"/>
        <v>0</v>
      </c>
      <c r="AI67" s="44">
        <f t="shared" si="72"/>
        <v>1035.5456719271422</v>
      </c>
      <c r="AJ67" s="35">
        <f t="shared" si="58"/>
        <v>6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186.60479013839426</v>
      </c>
      <c r="AL67" s="57">
        <v>0</v>
      </c>
      <c r="AM67" s="57">
        <v>0</v>
      </c>
      <c r="AN67" s="61">
        <f t="shared" si="59"/>
        <v>6</v>
      </c>
      <c r="AO67" s="40">
        <f t="shared" si="73"/>
        <v>0</v>
      </c>
      <c r="AP67" s="40">
        <f t="shared" si="74"/>
        <v>0</v>
      </c>
      <c r="AQ67" s="44">
        <f t="shared" si="75"/>
        <v>1119.6287408303656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11</v>
      </c>
      <c r="G68" s="35">
        <f>SUMIFS(WORKING!$AC$3:$AC$6802,WORKING!$A$3:$A$6802,Results!$D$3,WORKING!$B$3:$B$6802,Results!A68,WORKING!$C$3:$C$6802,Results!C68)/1000</f>
        <v>1912.75872</v>
      </c>
      <c r="H68" s="35">
        <f t="shared" si="60"/>
        <v>173.88715636363636</v>
      </c>
      <c r="I68" s="187" t="s">
        <v>754</v>
      </c>
      <c r="J68" s="212" t="s">
        <v>754</v>
      </c>
      <c r="K68" s="217">
        <f t="shared" si="61"/>
        <v>173.88715636363636</v>
      </c>
      <c r="L68" s="34">
        <f t="shared" si="54"/>
        <v>11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189.06143870190988</v>
      </c>
      <c r="N68" s="57">
        <v>0</v>
      </c>
      <c r="O68" s="57">
        <v>0</v>
      </c>
      <c r="P68" s="61">
        <f t="shared" si="55"/>
        <v>11</v>
      </c>
      <c r="Q68" s="40">
        <f t="shared" si="62"/>
        <v>0</v>
      </c>
      <c r="R68" s="40">
        <f t="shared" si="63"/>
        <v>0</v>
      </c>
      <c r="S68" s="44">
        <f t="shared" si="64"/>
        <v>2079.6758257210086</v>
      </c>
      <c r="T68" s="35">
        <f t="shared" si="65"/>
        <v>11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205.06730636183363</v>
      </c>
      <c r="V68" s="57">
        <v>0</v>
      </c>
      <c r="W68" s="57">
        <v>0</v>
      </c>
      <c r="X68" s="61">
        <f t="shared" si="56"/>
        <v>11</v>
      </c>
      <c r="Y68" s="40">
        <f t="shared" si="66"/>
        <v>0</v>
      </c>
      <c r="Z68" s="40">
        <f t="shared" si="67"/>
        <v>0</v>
      </c>
      <c r="AA68" s="44">
        <f t="shared" si="68"/>
        <v>2255.7403699801698</v>
      </c>
      <c r="AB68" s="35">
        <f t="shared" si="69"/>
        <v>11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222.22040680439534</v>
      </c>
      <c r="AD68" s="57">
        <v>0</v>
      </c>
      <c r="AE68" s="57">
        <v>0</v>
      </c>
      <c r="AF68" s="61">
        <f t="shared" si="57"/>
        <v>11</v>
      </c>
      <c r="AG68" s="40">
        <f t="shared" si="70"/>
        <v>0</v>
      </c>
      <c r="AH68" s="40">
        <f t="shared" si="71"/>
        <v>0</v>
      </c>
      <c r="AI68" s="44">
        <f t="shared" si="72"/>
        <v>2444.4244748483488</v>
      </c>
      <c r="AJ68" s="35">
        <f t="shared" si="58"/>
        <v>11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240.357897089993</v>
      </c>
      <c r="AL68" s="57">
        <v>0</v>
      </c>
      <c r="AM68" s="57">
        <v>0</v>
      </c>
      <c r="AN68" s="61">
        <f t="shared" si="59"/>
        <v>11</v>
      </c>
      <c r="AO68" s="40">
        <f t="shared" si="73"/>
        <v>0</v>
      </c>
      <c r="AP68" s="40">
        <f t="shared" si="74"/>
        <v>0</v>
      </c>
      <c r="AQ68" s="44">
        <f t="shared" si="75"/>
        <v>2643.936867989923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18</v>
      </c>
      <c r="G69" s="35">
        <f>SUMIFS(WORKING!$AC$3:$AC$6802,WORKING!$A$3:$A$6802,Results!$D$3,WORKING!$B$3:$B$6802,Results!A69,WORKING!$C$3:$C$6802,Results!C69)/1000</f>
        <v>3431.2863400000001</v>
      </c>
      <c r="H69" s="35">
        <f t="shared" si="60"/>
        <v>190.6270188888889</v>
      </c>
      <c r="I69" s="187" t="s">
        <v>754</v>
      </c>
      <c r="J69" s="212" t="s">
        <v>754</v>
      </c>
      <c r="K69" s="217">
        <f t="shared" si="61"/>
        <v>190.6270188888889</v>
      </c>
      <c r="L69" s="34">
        <f t="shared" si="54"/>
        <v>18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207.26746681431189</v>
      </c>
      <c r="N69" s="57">
        <v>0</v>
      </c>
      <c r="O69" s="57">
        <v>0</v>
      </c>
      <c r="P69" s="61">
        <f t="shared" si="55"/>
        <v>18</v>
      </c>
      <c r="Q69" s="40">
        <f t="shared" si="62"/>
        <v>0</v>
      </c>
      <c r="R69" s="40">
        <f t="shared" si="63"/>
        <v>0</v>
      </c>
      <c r="S69" s="44">
        <f t="shared" si="64"/>
        <v>3730.8144026576138</v>
      </c>
      <c r="T69" s="35">
        <f t="shared" si="65"/>
        <v>18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224.81706025432547</v>
      </c>
      <c r="V69" s="57">
        <v>0</v>
      </c>
      <c r="W69" s="57">
        <v>0</v>
      </c>
      <c r="X69" s="61">
        <f t="shared" si="56"/>
        <v>18</v>
      </c>
      <c r="Y69" s="40">
        <f t="shared" si="66"/>
        <v>0</v>
      </c>
      <c r="Z69" s="40">
        <f t="shared" si="67"/>
        <v>0</v>
      </c>
      <c r="AA69" s="44">
        <f t="shared" si="68"/>
        <v>4046.7070845778585</v>
      </c>
      <c r="AB69" s="35">
        <f t="shared" si="69"/>
        <v>18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243.62472920931063</v>
      </c>
      <c r="AD69" s="57">
        <v>0</v>
      </c>
      <c r="AE69" s="57">
        <v>0</v>
      </c>
      <c r="AF69" s="61">
        <f t="shared" si="57"/>
        <v>18</v>
      </c>
      <c r="AG69" s="40">
        <f t="shared" si="70"/>
        <v>0</v>
      </c>
      <c r="AH69" s="40">
        <f t="shared" si="71"/>
        <v>0</v>
      </c>
      <c r="AI69" s="44">
        <f t="shared" si="72"/>
        <v>4385.2451257675912</v>
      </c>
      <c r="AJ69" s="35">
        <f t="shared" si="58"/>
        <v>18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263.51193687539859</v>
      </c>
      <c r="AL69" s="57">
        <v>0</v>
      </c>
      <c r="AM69" s="57">
        <v>0</v>
      </c>
      <c r="AN69" s="61">
        <f t="shared" si="59"/>
        <v>18</v>
      </c>
      <c r="AO69" s="40">
        <f t="shared" si="73"/>
        <v>0</v>
      </c>
      <c r="AP69" s="40">
        <f t="shared" si="74"/>
        <v>0</v>
      </c>
      <c r="AQ69" s="44">
        <f t="shared" si="75"/>
        <v>4743.2148637571745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14</v>
      </c>
      <c r="G70" s="35">
        <f>SUMIFS(WORKING!$AC$3:$AC$6802,WORKING!$A$3:$A$6802,Results!$D$3,WORKING!$B$3:$B$6802,Results!A70,WORKING!$C$3:$C$6802,Results!C70)/1000</f>
        <v>3167.9504700000007</v>
      </c>
      <c r="H70" s="35">
        <f t="shared" si="60"/>
        <v>226.28217642857149</v>
      </c>
      <c r="I70" s="187" t="s">
        <v>754</v>
      </c>
      <c r="J70" s="212" t="s">
        <v>754</v>
      </c>
      <c r="K70" s="217">
        <f t="shared" si="61"/>
        <v>226.28217642857149</v>
      </c>
      <c r="L70" s="34">
        <f t="shared" si="54"/>
        <v>14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246.16145495005514</v>
      </c>
      <c r="N70" s="57">
        <v>0</v>
      </c>
      <c r="O70" s="57">
        <v>0</v>
      </c>
      <c r="P70" s="61">
        <f t="shared" si="55"/>
        <v>14</v>
      </c>
      <c r="Q70" s="40">
        <f t="shared" si="62"/>
        <v>0</v>
      </c>
      <c r="R70" s="40">
        <f t="shared" si="63"/>
        <v>0</v>
      </c>
      <c r="S70" s="44">
        <f t="shared" si="64"/>
        <v>3446.2603693007723</v>
      </c>
      <c r="T70" s="35">
        <f t="shared" si="65"/>
        <v>14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267.04276985479822</v>
      </c>
      <c r="V70" s="57">
        <v>0</v>
      </c>
      <c r="W70" s="57">
        <v>0</v>
      </c>
      <c r="X70" s="61">
        <f t="shared" si="56"/>
        <v>14</v>
      </c>
      <c r="Y70" s="40">
        <f t="shared" si="66"/>
        <v>0</v>
      </c>
      <c r="Z70" s="40">
        <f t="shared" si="67"/>
        <v>0</v>
      </c>
      <c r="AA70" s="44">
        <f t="shared" si="68"/>
        <v>3738.598777967175</v>
      </c>
      <c r="AB70" s="35">
        <f t="shared" si="69"/>
        <v>14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289.42472327921689</v>
      </c>
      <c r="AD70" s="57">
        <v>0</v>
      </c>
      <c r="AE70" s="57">
        <v>0</v>
      </c>
      <c r="AF70" s="61">
        <f t="shared" si="57"/>
        <v>14</v>
      </c>
      <c r="AG70" s="40">
        <f t="shared" si="70"/>
        <v>0</v>
      </c>
      <c r="AH70" s="40">
        <f t="shared" si="71"/>
        <v>0</v>
      </c>
      <c r="AI70" s="44">
        <f t="shared" si="72"/>
        <v>4051.9461259090367</v>
      </c>
      <c r="AJ70" s="35">
        <f t="shared" si="58"/>
        <v>14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313.09587579875608</v>
      </c>
      <c r="AL70" s="57">
        <v>0</v>
      </c>
      <c r="AM70" s="57">
        <v>0</v>
      </c>
      <c r="AN70" s="61">
        <f t="shared" si="59"/>
        <v>14</v>
      </c>
      <c r="AO70" s="40">
        <f t="shared" si="73"/>
        <v>0</v>
      </c>
      <c r="AP70" s="40">
        <f t="shared" si="74"/>
        <v>0</v>
      </c>
      <c r="AQ70" s="44">
        <f t="shared" si="75"/>
        <v>4383.3422611825854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15</v>
      </c>
      <c r="G71" s="35">
        <f>SUMIFS(WORKING!$AC$3:$AC$6802,WORKING!$A$3:$A$6802,Results!$D$3,WORKING!$B$3:$B$6802,Results!A71,WORKING!$C$3:$C$6802,Results!C71)/1000</f>
        <v>3866.0336299999999</v>
      </c>
      <c r="H71" s="35">
        <f>IFERROR(G71/F71,0)</f>
        <v>257.73557533333332</v>
      </c>
      <c r="I71" s="187" t="s">
        <v>754</v>
      </c>
      <c r="J71" s="212" t="s">
        <v>754</v>
      </c>
      <c r="K71" s="217">
        <f t="shared" si="61"/>
        <v>257.73557533333332</v>
      </c>
      <c r="L71" s="34">
        <f t="shared" si="54"/>
        <v>15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280.55315220172287</v>
      </c>
      <c r="N71" s="57">
        <v>0</v>
      </c>
      <c r="O71" s="57">
        <v>0</v>
      </c>
      <c r="P71" s="61">
        <f t="shared" si="55"/>
        <v>15</v>
      </c>
      <c r="Q71" s="40">
        <f t="shared" si="62"/>
        <v>0</v>
      </c>
      <c r="R71" s="40">
        <f t="shared" si="63"/>
        <v>0</v>
      </c>
      <c r="S71" s="44">
        <f t="shared" si="64"/>
        <v>4208.2972830258432</v>
      </c>
      <c r="T71" s="35">
        <f t="shared" si="65"/>
        <v>15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304.40595174049116</v>
      </c>
      <c r="V71" s="57">
        <v>0</v>
      </c>
      <c r="W71" s="57">
        <v>0</v>
      </c>
      <c r="X71" s="61">
        <f t="shared" si="56"/>
        <v>15</v>
      </c>
      <c r="Y71" s="40">
        <f t="shared" si="66"/>
        <v>0</v>
      </c>
      <c r="Z71" s="40">
        <f t="shared" si="67"/>
        <v>0</v>
      </c>
      <c r="AA71" s="44">
        <f t="shared" si="68"/>
        <v>4566.0892761073674</v>
      </c>
      <c r="AB71" s="35">
        <f t="shared" si="69"/>
        <v>15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329.97812946381919</v>
      </c>
      <c r="AD71" s="57">
        <v>0</v>
      </c>
      <c r="AE71" s="57">
        <v>0</v>
      </c>
      <c r="AF71" s="61">
        <f t="shared" si="57"/>
        <v>15</v>
      </c>
      <c r="AG71" s="40">
        <f t="shared" si="70"/>
        <v>0</v>
      </c>
      <c r="AH71" s="40">
        <f t="shared" si="71"/>
        <v>0</v>
      </c>
      <c r="AI71" s="44">
        <f t="shared" si="72"/>
        <v>4949.6719419572873</v>
      </c>
      <c r="AJ71" s="35">
        <f t="shared" si="58"/>
        <v>15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357.02949276380571</v>
      </c>
      <c r="AL71" s="57">
        <v>0</v>
      </c>
      <c r="AM71" s="57">
        <v>0</v>
      </c>
      <c r="AN71" s="61">
        <f t="shared" si="59"/>
        <v>15</v>
      </c>
      <c r="AO71" s="40">
        <f t="shared" si="73"/>
        <v>0</v>
      </c>
      <c r="AP71" s="40">
        <f t="shared" si="74"/>
        <v>0</v>
      </c>
      <c r="AQ71" s="44">
        <f t="shared" si="75"/>
        <v>5355.4423914570853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14</v>
      </c>
      <c r="G72" s="35">
        <f>SUMIFS(WORKING!$AC$3:$AC$6802,WORKING!$A$3:$A$6802,Results!$D$3,WORKING!$B$3:$B$6802,Results!A72,WORKING!$C$3:$C$6802,Results!C72)/1000</f>
        <v>4993.8619099999996</v>
      </c>
      <c r="H72" s="35">
        <f t="shared" si="60"/>
        <v>356.70442214285714</v>
      </c>
      <c r="I72" s="187" t="s">
        <v>754</v>
      </c>
      <c r="J72" s="212" t="s">
        <v>754</v>
      </c>
      <c r="K72" s="217">
        <f>IFERROR(IF(J72="",G72,J72)/IF(I72="",F72,I72),"")</f>
        <v>356.70442214285714</v>
      </c>
      <c r="L72" s="34">
        <f t="shared" si="54"/>
        <v>14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388.51934100266755</v>
      </c>
      <c r="N72" s="57">
        <v>0</v>
      </c>
      <c r="O72" s="57">
        <v>0</v>
      </c>
      <c r="P72" s="61">
        <f t="shared" si="55"/>
        <v>14</v>
      </c>
      <c r="Q72" s="40">
        <f t="shared" si="62"/>
        <v>0</v>
      </c>
      <c r="R72" s="40">
        <f t="shared" si="63"/>
        <v>0</v>
      </c>
      <c r="S72" s="44">
        <f t="shared" si="64"/>
        <v>5439.2707740373453</v>
      </c>
      <c r="T72" s="35">
        <f t="shared" si="65"/>
        <v>14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421.62370362882734</v>
      </c>
      <c r="V72" s="57">
        <v>0</v>
      </c>
      <c r="W72" s="57">
        <v>0</v>
      </c>
      <c r="X72" s="61">
        <f t="shared" si="56"/>
        <v>14</v>
      </c>
      <c r="Y72" s="40">
        <f t="shared" si="66"/>
        <v>0</v>
      </c>
      <c r="Z72" s="40">
        <f t="shared" si="67"/>
        <v>0</v>
      </c>
      <c r="AA72" s="44">
        <f t="shared" si="68"/>
        <v>5902.7318508035823</v>
      </c>
      <c r="AB72" s="35">
        <f t="shared" si="69"/>
        <v>14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457.12129588654642</v>
      </c>
      <c r="AD72" s="57">
        <v>0</v>
      </c>
      <c r="AE72" s="57">
        <v>0</v>
      </c>
      <c r="AF72" s="61">
        <f t="shared" si="57"/>
        <v>14</v>
      </c>
      <c r="AG72" s="40">
        <f t="shared" si="70"/>
        <v>0</v>
      </c>
      <c r="AH72" s="40">
        <f t="shared" si="71"/>
        <v>0</v>
      </c>
      <c r="AI72" s="44">
        <f t="shared" si="72"/>
        <v>6399.6981424116502</v>
      </c>
      <c r="AJ72" s="35">
        <f t="shared" si="58"/>
        <v>14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494.68058906959271</v>
      </c>
      <c r="AL72" s="57">
        <v>0</v>
      </c>
      <c r="AM72" s="57">
        <v>0</v>
      </c>
      <c r="AN72" s="61">
        <f t="shared" si="59"/>
        <v>14</v>
      </c>
      <c r="AO72" s="40">
        <f t="shared" si="73"/>
        <v>0</v>
      </c>
      <c r="AP72" s="40">
        <f t="shared" si="74"/>
        <v>0</v>
      </c>
      <c r="AQ72" s="44">
        <f t="shared" si="75"/>
        <v>6925.5282469742979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3</v>
      </c>
      <c r="G73" s="35">
        <f>SUMIFS(WORKING!$AC$3:$AC$6802,WORKING!$A$3:$A$6802,Results!$D$3,WORKING!$B$3:$B$6802,Results!A73,WORKING!$C$3:$C$6802,Results!C73)/1000</f>
        <v>1407.8189200000004</v>
      </c>
      <c r="H73" s="35">
        <f t="shared" si="60"/>
        <v>469.27297333333348</v>
      </c>
      <c r="I73" s="187" t="s">
        <v>754</v>
      </c>
      <c r="J73" s="212" t="s">
        <v>754</v>
      </c>
      <c r="K73" s="217">
        <f t="shared" si="61"/>
        <v>469.27297333333348</v>
      </c>
      <c r="L73" s="34">
        <f t="shared" si="54"/>
        <v>3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511.6387848989749</v>
      </c>
      <c r="N73" s="57">
        <v>0</v>
      </c>
      <c r="O73" s="57">
        <v>0</v>
      </c>
      <c r="P73" s="61">
        <f t="shared" si="55"/>
        <v>3</v>
      </c>
      <c r="Q73" s="40">
        <f t="shared" si="62"/>
        <v>0</v>
      </c>
      <c r="R73" s="40">
        <f t="shared" si="63"/>
        <v>0</v>
      </c>
      <c r="S73" s="44">
        <f t="shared" si="64"/>
        <v>1534.9163546969248</v>
      </c>
      <c r="T73" s="35">
        <f t="shared" si="65"/>
        <v>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555.3916860896561</v>
      </c>
      <c r="V73" s="57">
        <v>0</v>
      </c>
      <c r="W73" s="57">
        <v>0</v>
      </c>
      <c r="X73" s="61">
        <f t="shared" si="56"/>
        <v>3</v>
      </c>
      <c r="Y73" s="40">
        <f t="shared" si="66"/>
        <v>0</v>
      </c>
      <c r="Z73" s="40">
        <f t="shared" si="67"/>
        <v>0</v>
      </c>
      <c r="AA73" s="44">
        <f t="shared" si="68"/>
        <v>1666.1750582689683</v>
      </c>
      <c r="AB73" s="35">
        <f t="shared" si="69"/>
        <v>3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602.32286679321351</v>
      </c>
      <c r="AD73" s="57">
        <v>0</v>
      </c>
      <c r="AE73" s="57">
        <v>0</v>
      </c>
      <c r="AF73" s="61">
        <f t="shared" si="57"/>
        <v>3</v>
      </c>
      <c r="AG73" s="40">
        <f t="shared" si="70"/>
        <v>0</v>
      </c>
      <c r="AH73" s="40">
        <f t="shared" si="71"/>
        <v>0</v>
      </c>
      <c r="AI73" s="44">
        <f t="shared" si="72"/>
        <v>1806.9686003796405</v>
      </c>
      <c r="AJ73" s="35">
        <f t="shared" si="58"/>
        <v>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651.99807098430256</v>
      </c>
      <c r="AL73" s="57">
        <v>0</v>
      </c>
      <c r="AM73" s="57">
        <v>0</v>
      </c>
      <c r="AN73" s="61">
        <f t="shared" si="59"/>
        <v>3</v>
      </c>
      <c r="AO73" s="40">
        <f t="shared" si="73"/>
        <v>0</v>
      </c>
      <c r="AP73" s="40">
        <f t="shared" si="74"/>
        <v>0</v>
      </c>
      <c r="AQ73" s="44">
        <f t="shared" si="75"/>
        <v>1955.9942129529077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10</v>
      </c>
      <c r="G74" s="35">
        <f>SUMIFS(WORKING!$AC$3:$AC$6802,WORKING!$A$3:$A$6802,Results!$D$3,WORKING!$B$3:$B$6802,Results!A74,WORKING!$C$3:$C$6802,Results!C74)/1000</f>
        <v>6349.1642200000024</v>
      </c>
      <c r="H74" s="35">
        <f t="shared" si="60"/>
        <v>634.91642200000024</v>
      </c>
      <c r="I74" s="187" t="s">
        <v>754</v>
      </c>
      <c r="J74" s="212" t="s">
        <v>754</v>
      </c>
      <c r="K74" s="217">
        <f t="shared" si="61"/>
        <v>634.91642200000024</v>
      </c>
      <c r="L74" s="34">
        <f t="shared" si="54"/>
        <v>10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693.12854901020035</v>
      </c>
      <c r="N74" s="57">
        <v>0</v>
      </c>
      <c r="O74" s="57">
        <v>0</v>
      </c>
      <c r="P74" s="61">
        <f t="shared" si="55"/>
        <v>10</v>
      </c>
      <c r="Q74" s="40">
        <f t="shared" si="62"/>
        <v>0</v>
      </c>
      <c r="R74" s="40">
        <f t="shared" si="63"/>
        <v>0</v>
      </c>
      <c r="S74" s="44">
        <f t="shared" si="64"/>
        <v>6931.2854901020037</v>
      </c>
      <c r="T74" s="35">
        <f t="shared" si="65"/>
        <v>10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752.45844476254285</v>
      </c>
      <c r="V74" s="57">
        <v>0</v>
      </c>
      <c r="W74" s="57">
        <v>0</v>
      </c>
      <c r="X74" s="61">
        <f t="shared" si="56"/>
        <v>10</v>
      </c>
      <c r="Y74" s="40">
        <f t="shared" si="66"/>
        <v>0</v>
      </c>
      <c r="Z74" s="40">
        <f t="shared" si="67"/>
        <v>0</v>
      </c>
      <c r="AA74" s="44">
        <f t="shared" si="68"/>
        <v>7524.5844476254288</v>
      </c>
      <c r="AB74" s="35">
        <f t="shared" si="69"/>
        <v>10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816.10338933697165</v>
      </c>
      <c r="AD74" s="57">
        <v>0</v>
      </c>
      <c r="AE74" s="57">
        <v>0</v>
      </c>
      <c r="AF74" s="61">
        <f t="shared" si="57"/>
        <v>10</v>
      </c>
      <c r="AG74" s="40">
        <f t="shared" si="70"/>
        <v>0</v>
      </c>
      <c r="AH74" s="40">
        <f t="shared" si="71"/>
        <v>0</v>
      </c>
      <c r="AI74" s="44">
        <f t="shared" si="72"/>
        <v>8161.0338933697167</v>
      </c>
      <c r="AJ74" s="35">
        <f t="shared" si="58"/>
        <v>10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883.47559403779474</v>
      </c>
      <c r="AL74" s="57">
        <v>0</v>
      </c>
      <c r="AM74" s="57">
        <v>0</v>
      </c>
      <c r="AN74" s="61">
        <f t="shared" si="59"/>
        <v>10</v>
      </c>
      <c r="AO74" s="40">
        <f t="shared" si="73"/>
        <v>0</v>
      </c>
      <c r="AP74" s="40">
        <f t="shared" si="74"/>
        <v>0</v>
      </c>
      <c r="AQ74" s="44">
        <f t="shared" si="75"/>
        <v>8834.7559403779469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6</v>
      </c>
      <c r="G75" s="35">
        <f>SUMIFS(WORKING!$AC$3:$AC$6802,WORKING!$A$3:$A$6802,Results!$D$3,WORKING!$B$3:$B$6802,Results!A75,WORKING!$C$3:$C$6802,Results!C75)/1000</f>
        <v>3771.0243000000005</v>
      </c>
      <c r="H75" s="35">
        <f t="shared" si="60"/>
        <v>628.50405000000012</v>
      </c>
      <c r="I75" s="187" t="s">
        <v>754</v>
      </c>
      <c r="J75" s="212" t="s">
        <v>754</v>
      </c>
      <c r="K75" s="217">
        <f t="shared" si="61"/>
        <v>628.50405000000012</v>
      </c>
      <c r="L75" s="34">
        <f t="shared" si="54"/>
        <v>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686.19678148770015</v>
      </c>
      <c r="N75" s="57">
        <v>0</v>
      </c>
      <c r="O75" s="57">
        <v>0</v>
      </c>
      <c r="P75" s="61">
        <f t="shared" si="55"/>
        <v>6</v>
      </c>
      <c r="Q75" s="40">
        <f t="shared" si="62"/>
        <v>0</v>
      </c>
      <c r="R75" s="40">
        <f t="shared" si="63"/>
        <v>0</v>
      </c>
      <c r="S75" s="44">
        <f t="shared" si="64"/>
        <v>4117.1806889262007</v>
      </c>
      <c r="T75" s="35">
        <f t="shared" si="65"/>
        <v>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745.00773058837137</v>
      </c>
      <c r="V75" s="57">
        <v>0</v>
      </c>
      <c r="W75" s="57">
        <v>0</v>
      </c>
      <c r="X75" s="61">
        <f t="shared" si="56"/>
        <v>6</v>
      </c>
      <c r="Y75" s="40">
        <f t="shared" si="66"/>
        <v>0</v>
      </c>
      <c r="Z75" s="40">
        <f t="shared" si="67"/>
        <v>0</v>
      </c>
      <c r="AA75" s="44">
        <f t="shared" si="68"/>
        <v>4470.046383530228</v>
      </c>
      <c r="AB75" s="35">
        <f t="shared" si="69"/>
        <v>6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808.10316789284309</v>
      </c>
      <c r="AD75" s="57">
        <v>0</v>
      </c>
      <c r="AE75" s="57">
        <v>0</v>
      </c>
      <c r="AF75" s="61">
        <f t="shared" si="57"/>
        <v>6</v>
      </c>
      <c r="AG75" s="40">
        <f t="shared" si="70"/>
        <v>0</v>
      </c>
      <c r="AH75" s="40">
        <f t="shared" si="71"/>
        <v>0</v>
      </c>
      <c r="AI75" s="44">
        <f t="shared" si="72"/>
        <v>4848.6190073570588</v>
      </c>
      <c r="AJ75" s="35">
        <f t="shared" si="58"/>
        <v>6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874.90229051052893</v>
      </c>
      <c r="AL75" s="57">
        <v>0</v>
      </c>
      <c r="AM75" s="57">
        <v>0</v>
      </c>
      <c r="AN75" s="61">
        <f t="shared" si="59"/>
        <v>6</v>
      </c>
      <c r="AO75" s="40">
        <f t="shared" si="73"/>
        <v>0</v>
      </c>
      <c r="AP75" s="40">
        <f t="shared" si="74"/>
        <v>0</v>
      </c>
      <c r="AQ75" s="44">
        <f t="shared" si="75"/>
        <v>5249.4137430631736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11</v>
      </c>
      <c r="G76" s="35">
        <f>SUMIFS(WORKING!$AC$3:$AC$6802,WORKING!$A$3:$A$6802,Results!$D$3,WORKING!$B$3:$B$6802,Results!A76,WORKING!$C$3:$C$6802,Results!C76)/1000</f>
        <v>9316.5931999999993</v>
      </c>
      <c r="H76" s="35">
        <f t="shared" si="60"/>
        <v>846.96301818181814</v>
      </c>
      <c r="I76" s="187" t="s">
        <v>754</v>
      </c>
      <c r="J76" s="212" t="s">
        <v>754</v>
      </c>
      <c r="K76" s="217">
        <f t="shared" si="61"/>
        <v>846.96301818181814</v>
      </c>
      <c r="L76" s="34">
        <f t="shared" si="54"/>
        <v>11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887.56143072693169</v>
      </c>
      <c r="N76" s="57">
        <v>0</v>
      </c>
      <c r="O76" s="57">
        <v>0</v>
      </c>
      <c r="P76" s="61">
        <f t="shared" si="55"/>
        <v>11</v>
      </c>
      <c r="Q76" s="40">
        <f t="shared" si="62"/>
        <v>0</v>
      </c>
      <c r="R76" s="40">
        <f t="shared" si="63"/>
        <v>0</v>
      </c>
      <c r="S76" s="44">
        <f t="shared" si="64"/>
        <v>9763.1757379962492</v>
      </c>
      <c r="T76" s="35">
        <f t="shared" si="65"/>
        <v>11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954.41650074150209</v>
      </c>
      <c r="V76" s="57">
        <v>0</v>
      </c>
      <c r="W76" s="57">
        <v>0</v>
      </c>
      <c r="X76" s="61">
        <f t="shared" si="56"/>
        <v>11</v>
      </c>
      <c r="Y76" s="40">
        <f t="shared" si="66"/>
        <v>0</v>
      </c>
      <c r="Z76" s="40">
        <f t="shared" si="67"/>
        <v>0</v>
      </c>
      <c r="AA76" s="44">
        <f t="shared" si="68"/>
        <v>10498.581508156523</v>
      </c>
      <c r="AB76" s="35">
        <f t="shared" si="69"/>
        <v>11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1025.3391771173672</v>
      </c>
      <c r="AD76" s="57">
        <v>0</v>
      </c>
      <c r="AE76" s="57">
        <v>0</v>
      </c>
      <c r="AF76" s="61">
        <f t="shared" si="57"/>
        <v>11</v>
      </c>
      <c r="AG76" s="40">
        <f t="shared" si="70"/>
        <v>0</v>
      </c>
      <c r="AH76" s="40">
        <f t="shared" si="71"/>
        <v>0</v>
      </c>
      <c r="AI76" s="44">
        <f t="shared" si="72"/>
        <v>11278.730948291039</v>
      </c>
      <c r="AJ76" s="35">
        <f t="shared" si="58"/>
        <v>11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1099.451791494811</v>
      </c>
      <c r="AL76" s="57">
        <v>0</v>
      </c>
      <c r="AM76" s="57">
        <v>0</v>
      </c>
      <c r="AN76" s="61">
        <f t="shared" si="59"/>
        <v>11</v>
      </c>
      <c r="AO76" s="40">
        <f t="shared" si="73"/>
        <v>0</v>
      </c>
      <c r="AP76" s="40">
        <f t="shared" si="74"/>
        <v>0</v>
      </c>
      <c r="AQ76" s="44">
        <f t="shared" si="75"/>
        <v>12093.96970644292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</v>
      </c>
      <c r="G77" s="35">
        <f>SUMIFS(WORKING!$AC$3:$AC$6802,WORKING!$A$3:$A$6802,Results!$D$3,WORKING!$B$3:$B$6802,Results!A77,WORKING!$C$3:$C$6802,Results!C77)/1000</f>
        <v>2304.7891800000002</v>
      </c>
      <c r="H77" s="35">
        <f t="shared" si="60"/>
        <v>1152.3945900000001</v>
      </c>
      <c r="I77" s="187" t="s">
        <v>754</v>
      </c>
      <c r="J77" s="212" t="s">
        <v>754</v>
      </c>
      <c r="K77" s="217">
        <f t="shared" si="61"/>
        <v>1152.3945900000001</v>
      </c>
      <c r="L77" s="34">
        <f t="shared" si="54"/>
        <v>2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1207.7535873213001</v>
      </c>
      <c r="N77" s="57">
        <v>0</v>
      </c>
      <c r="O77" s="57">
        <v>0</v>
      </c>
      <c r="P77" s="61">
        <f t="shared" si="55"/>
        <v>2</v>
      </c>
      <c r="Q77" s="40">
        <f t="shared" si="62"/>
        <v>0</v>
      </c>
      <c r="R77" s="40">
        <f t="shared" si="63"/>
        <v>0</v>
      </c>
      <c r="S77" s="44">
        <f t="shared" si="64"/>
        <v>2415.5071746426001</v>
      </c>
      <c r="T77" s="35">
        <f t="shared" si="65"/>
        <v>2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1298.8560008813997</v>
      </c>
      <c r="V77" s="57">
        <v>0</v>
      </c>
      <c r="W77" s="57">
        <v>0</v>
      </c>
      <c r="X77" s="61">
        <f t="shared" si="56"/>
        <v>2</v>
      </c>
      <c r="Y77" s="40">
        <f t="shared" si="66"/>
        <v>0</v>
      </c>
      <c r="Z77" s="40">
        <f t="shared" si="67"/>
        <v>0</v>
      </c>
      <c r="AA77" s="44">
        <f t="shared" si="68"/>
        <v>2597.7120017627994</v>
      </c>
      <c r="AB77" s="35">
        <f t="shared" si="69"/>
        <v>2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1395.5126226882587</v>
      </c>
      <c r="AD77" s="57">
        <v>0</v>
      </c>
      <c r="AE77" s="57">
        <v>0</v>
      </c>
      <c r="AF77" s="61">
        <f t="shared" si="57"/>
        <v>2</v>
      </c>
      <c r="AG77" s="40">
        <f t="shared" si="70"/>
        <v>0</v>
      </c>
      <c r="AH77" s="40">
        <f t="shared" si="71"/>
        <v>0</v>
      </c>
      <c r="AI77" s="44">
        <f t="shared" si="72"/>
        <v>2791.0252453765174</v>
      </c>
      <c r="AJ77" s="35">
        <f t="shared" si="58"/>
        <v>2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1496.5304581346659</v>
      </c>
      <c r="AL77" s="57">
        <v>0</v>
      </c>
      <c r="AM77" s="57">
        <v>0</v>
      </c>
      <c r="AN77" s="61">
        <f t="shared" si="59"/>
        <v>2</v>
      </c>
      <c r="AO77" s="40">
        <f t="shared" si="73"/>
        <v>0</v>
      </c>
      <c r="AP77" s="40">
        <f t="shared" si="74"/>
        <v>0</v>
      </c>
      <c r="AQ77" s="44">
        <f t="shared" si="75"/>
        <v>2993.0609162693318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 t="s">
        <v>754</v>
      </c>
      <c r="J78" s="212" t="s">
        <v>754</v>
      </c>
      <c r="K78" s="217" t="str">
        <f t="shared" si="61"/>
        <v/>
      </c>
      <c r="L78" s="34">
        <f t="shared" si="54"/>
        <v>0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0</v>
      </c>
      <c r="N78" s="57">
        <v>0</v>
      </c>
      <c r="O78" s="57">
        <v>0</v>
      </c>
      <c r="P78" s="61">
        <f t="shared" si="55"/>
        <v>0</v>
      </c>
      <c r="Q78" s="40">
        <f t="shared" si="62"/>
        <v>0</v>
      </c>
      <c r="R78" s="40">
        <f t="shared" si="63"/>
        <v>0</v>
      </c>
      <c r="S78" s="44">
        <f t="shared" si="64"/>
        <v>0</v>
      </c>
      <c r="T78" s="35">
        <f t="shared" si="65"/>
        <v>0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0</v>
      </c>
      <c r="V78" s="57">
        <v>0</v>
      </c>
      <c r="W78" s="57">
        <v>0</v>
      </c>
      <c r="X78" s="61">
        <f t="shared" si="56"/>
        <v>0</v>
      </c>
      <c r="Y78" s="40">
        <f t="shared" si="66"/>
        <v>0</v>
      </c>
      <c r="Z78" s="40">
        <f t="shared" si="67"/>
        <v>0</v>
      </c>
      <c r="AA78" s="44">
        <f t="shared" si="68"/>
        <v>0</v>
      </c>
      <c r="AB78" s="35">
        <f t="shared" si="69"/>
        <v>0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0</v>
      </c>
      <c r="AD78" s="57">
        <v>0</v>
      </c>
      <c r="AE78" s="57">
        <v>0</v>
      </c>
      <c r="AF78" s="61">
        <f t="shared" si="57"/>
        <v>0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0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0</v>
      </c>
      <c r="AL78" s="57">
        <v>0</v>
      </c>
      <c r="AM78" s="57">
        <v>0</v>
      </c>
      <c r="AN78" s="61">
        <f t="shared" si="59"/>
        <v>0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3390.77367</v>
      </c>
      <c r="H79" s="35">
        <f t="shared" si="60"/>
        <v>1130.2578900000001</v>
      </c>
      <c r="I79" s="187" t="s">
        <v>754</v>
      </c>
      <c r="J79" s="212" t="s">
        <v>754</v>
      </c>
      <c r="K79" s="217">
        <f t="shared" si="61"/>
        <v>1130.2578900000001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1184.9856559918999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3554.9569679756996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1274.8356008577039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3824.5068025731116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1370.2044307258357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4110.613292177507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1469.9263638359821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4409.7790915079459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122</v>
      </c>
      <c r="G84" s="41">
        <f>SUM(G64:G83)</f>
        <v>45695.812790000004</v>
      </c>
      <c r="H84" s="41">
        <f>IFERROR(G84/F84,0)</f>
        <v>374.55584254098363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122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45695.812790000004</v>
      </c>
      <c r="K84" s="41">
        <f>IFERROR(J84/I84,"")</f>
        <v>374.55584254098363</v>
      </c>
      <c r="L84" s="41">
        <f>SUM(L64:L83)</f>
        <v>122</v>
      </c>
      <c r="M84" s="41">
        <f>IFERROR(S84/P84,0)</f>
        <v>402.93562302307777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122</v>
      </c>
      <c r="Q84" s="41">
        <f t="shared" si="98"/>
        <v>0</v>
      </c>
      <c r="R84" s="41">
        <f t="shared" si="98"/>
        <v>0</v>
      </c>
      <c r="S84" s="45">
        <f t="shared" si="98"/>
        <v>49158.146008815485</v>
      </c>
      <c r="T84" s="41">
        <f t="shared" si="98"/>
        <v>122</v>
      </c>
      <c r="U84" s="41">
        <f>IFERROR(AA84/X84,0)</f>
        <v>435.9952024724733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122</v>
      </c>
      <c r="Y84" s="41">
        <f t="shared" si="99"/>
        <v>0</v>
      </c>
      <c r="Z84" s="41">
        <f t="shared" si="99"/>
        <v>0</v>
      </c>
      <c r="AA84" s="45">
        <f t="shared" si="99"/>
        <v>53191.414701641741</v>
      </c>
      <c r="AB84" s="41">
        <f t="shared" si="99"/>
        <v>122</v>
      </c>
      <c r="AC84" s="41">
        <f>IFERROR(AI84/AF84,0)</f>
        <v>471.33336226769808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122</v>
      </c>
      <c r="AG84" s="41">
        <f t="shared" si="100"/>
        <v>0</v>
      </c>
      <c r="AH84" s="41">
        <f t="shared" si="100"/>
        <v>0</v>
      </c>
      <c r="AI84" s="45">
        <f t="shared" si="100"/>
        <v>57502.670196659165</v>
      </c>
      <c r="AJ84" s="41">
        <f t="shared" si="100"/>
        <v>122</v>
      </c>
      <c r="AK84" s="41">
        <f>IFERROR(AQ84/AN84,0)</f>
        <v>508.58870381345986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122</v>
      </c>
      <c r="AO84" s="41">
        <f t="shared" si="101"/>
        <v>0</v>
      </c>
      <c r="AP84" s="41">
        <f t="shared" si="101"/>
        <v>0</v>
      </c>
      <c r="AQ84" s="45">
        <f t="shared" si="101"/>
        <v>62047.821865242106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73812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84985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96611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103953.436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24653.853991184515</v>
      </c>
      <c r="T86" s="39"/>
      <c r="U86" s="39"/>
      <c r="V86" s="53"/>
      <c r="W86" s="53"/>
      <c r="X86" s="110"/>
      <c r="Y86" s="39"/>
      <c r="Z86" s="39"/>
      <c r="AA86" s="54">
        <f>AA85-AA84</f>
        <v>31793.585298358259</v>
      </c>
      <c r="AB86" s="39"/>
      <c r="AC86" s="53"/>
      <c r="AD86" s="53"/>
      <c r="AE86" s="110"/>
      <c r="AF86" s="39"/>
      <c r="AG86" s="39"/>
      <c r="AH86" s="39"/>
      <c r="AI86" s="54">
        <f>AI85-AI84</f>
        <v>39108.329803340835</v>
      </c>
      <c r="AJ86" s="53"/>
      <c r="AK86" s="53"/>
      <c r="AL86" s="110"/>
      <c r="AM86" s="110"/>
      <c r="AN86" s="110"/>
      <c r="AO86" s="110"/>
      <c r="AP86" s="111"/>
      <c r="AQ86" s="54">
        <f>AQ85-AQ84</f>
        <v>41905.614134757896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National Planning Coordination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9</v>
      </c>
      <c r="G92" s="35">
        <f>SUMIFS(WORKING!$AC$3:$AC$6802,WORKING!$A$3:$A$6802,Results!$D$3,WORKING!$B$3:$B$6802,Results!A92,WORKING!$C$3:$C$6802,Results!C92)/1000</f>
        <v>460.28545999999994</v>
      </c>
      <c r="H92" s="35">
        <f>IFERROR(G92/F92,0)</f>
        <v>51.142828888888886</v>
      </c>
      <c r="I92" s="156" t="s">
        <v>754</v>
      </c>
      <c r="J92" s="211" t="s">
        <v>754</v>
      </c>
      <c r="K92" s="217">
        <f>IFERROR(IF(J92="",G92,J92)/IF(I92="",F92,I92),"")</f>
        <v>51.142828888888886</v>
      </c>
      <c r="L92" s="34">
        <f t="shared" ref="L92:L111" si="102">IF(I92="",F92,I92)</f>
        <v>9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55.855129142711107</v>
      </c>
      <c r="N92" s="57">
        <v>0</v>
      </c>
      <c r="O92" s="57">
        <v>0</v>
      </c>
      <c r="P92" s="61">
        <f t="shared" ref="P92:P111" si="103">-O92+L92+N92</f>
        <v>9</v>
      </c>
      <c r="Q92" s="40">
        <f>M92*N92</f>
        <v>0</v>
      </c>
      <c r="R92" s="40">
        <f>-M92*O92</f>
        <v>0</v>
      </c>
      <c r="S92" s="44">
        <f>M92*P92</f>
        <v>502.69616228439997</v>
      </c>
      <c r="T92" s="35">
        <f>P92</f>
        <v>9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60.661463005441398</v>
      </c>
      <c r="V92" s="57">
        <v>0</v>
      </c>
      <c r="W92" s="57">
        <v>0</v>
      </c>
      <c r="X92" s="61">
        <f t="shared" ref="X92:X111" si="104">-W92+T92+V92</f>
        <v>9</v>
      </c>
      <c r="Y92" s="40">
        <f>U92*V92</f>
        <v>0</v>
      </c>
      <c r="Z92" s="40">
        <f>-U92*W92</f>
        <v>0</v>
      </c>
      <c r="AA92" s="44">
        <f>U92*X92</f>
        <v>545.95316704897255</v>
      </c>
      <c r="AB92" s="35">
        <f>X92</f>
        <v>9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65.8198105121091</v>
      </c>
      <c r="AD92" s="57">
        <v>0</v>
      </c>
      <c r="AE92" s="57">
        <v>0</v>
      </c>
      <c r="AF92" s="61">
        <f t="shared" ref="AF92:AF111" si="105">-AE92+AB92+AD92</f>
        <v>9</v>
      </c>
      <c r="AG92" s="40">
        <f>AC92*AD92</f>
        <v>0</v>
      </c>
      <c r="AH92" s="40">
        <f>-AC92*AE92</f>
        <v>0</v>
      </c>
      <c r="AI92" s="44">
        <f>AC92*AF92</f>
        <v>592.37829460898195</v>
      </c>
      <c r="AJ92" s="35">
        <f t="shared" ref="AJ92:AJ111" si="106">AF92</f>
        <v>9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71.283183883666709</v>
      </c>
      <c r="AL92" s="57">
        <v>0</v>
      </c>
      <c r="AM92" s="57">
        <v>0</v>
      </c>
      <c r="AN92" s="61">
        <f t="shared" ref="AN92:AN111" si="107">-AM92+AJ92+AL92</f>
        <v>9</v>
      </c>
      <c r="AO92" s="40">
        <f>AK92*AL92</f>
        <v>0</v>
      </c>
      <c r="AP92" s="40">
        <f>-AK92*AM92</f>
        <v>0</v>
      </c>
      <c r="AQ92" s="44">
        <f>AK92*AN92</f>
        <v>641.54865495300032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2</v>
      </c>
      <c r="G97" s="35">
        <f>SUMIFS(WORKING!$AC$3:$AC$6802,WORKING!$A$3:$A$6802,Results!$D$3,WORKING!$B$3:$B$6802,Results!A97,WORKING!$C$3:$C$6802,Results!C97)/1000</f>
        <v>435.42126999999994</v>
      </c>
      <c r="H97" s="35">
        <f t="shared" si="108"/>
        <v>217.71063499999997</v>
      </c>
      <c r="I97" s="187" t="s">
        <v>754</v>
      </c>
      <c r="J97" s="212" t="s">
        <v>754</v>
      </c>
      <c r="K97" s="217">
        <f t="shared" si="109"/>
        <v>217.71063499999997</v>
      </c>
      <c r="L97" s="34">
        <f t="shared" si="102"/>
        <v>2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237.13153797501934</v>
      </c>
      <c r="N97" s="57">
        <v>0</v>
      </c>
      <c r="O97" s="57">
        <v>0</v>
      </c>
      <c r="P97" s="61">
        <f t="shared" si="103"/>
        <v>2</v>
      </c>
      <c r="Q97" s="40">
        <f t="shared" si="110"/>
        <v>0</v>
      </c>
      <c r="R97" s="40">
        <f t="shared" si="111"/>
        <v>0</v>
      </c>
      <c r="S97" s="44">
        <f t="shared" si="112"/>
        <v>474.26307595003868</v>
      </c>
      <c r="T97" s="35">
        <f t="shared" si="113"/>
        <v>2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257.33888493163198</v>
      </c>
      <c r="V97" s="57">
        <v>0</v>
      </c>
      <c r="W97" s="57">
        <v>0</v>
      </c>
      <c r="X97" s="61">
        <f t="shared" si="104"/>
        <v>2</v>
      </c>
      <c r="Y97" s="40">
        <f t="shared" si="114"/>
        <v>0</v>
      </c>
      <c r="Z97" s="40">
        <f t="shared" si="115"/>
        <v>0</v>
      </c>
      <c r="AA97" s="44">
        <f t="shared" si="116"/>
        <v>514.67776986326396</v>
      </c>
      <c r="AB97" s="35">
        <f t="shared" si="117"/>
        <v>2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279.00721691141388</v>
      </c>
      <c r="AD97" s="57">
        <v>0</v>
      </c>
      <c r="AE97" s="57">
        <v>0</v>
      </c>
      <c r="AF97" s="61">
        <f t="shared" si="105"/>
        <v>2</v>
      </c>
      <c r="AG97" s="40">
        <f t="shared" si="118"/>
        <v>0</v>
      </c>
      <c r="AH97" s="40">
        <f t="shared" si="119"/>
        <v>0</v>
      </c>
      <c r="AI97" s="44">
        <f t="shared" si="120"/>
        <v>558.01443382282775</v>
      </c>
      <c r="AJ97" s="35">
        <f t="shared" si="106"/>
        <v>2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301.93410352337833</v>
      </c>
      <c r="AL97" s="57">
        <v>0</v>
      </c>
      <c r="AM97" s="57">
        <v>0</v>
      </c>
      <c r="AN97" s="61">
        <f t="shared" si="107"/>
        <v>2</v>
      </c>
      <c r="AO97" s="40">
        <f t="shared" si="121"/>
        <v>0</v>
      </c>
      <c r="AP97" s="40">
        <f t="shared" si="122"/>
        <v>0</v>
      </c>
      <c r="AQ97" s="44">
        <f t="shared" si="123"/>
        <v>603.86820704675665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2</v>
      </c>
      <c r="G98" s="35">
        <f>SUMIFS(WORKING!$AC$3:$AC$6802,WORKING!$A$3:$A$6802,Results!$D$3,WORKING!$B$3:$B$6802,Results!A98,WORKING!$C$3:$C$6802,Results!C98)/1000</f>
        <v>324.77464000000003</v>
      </c>
      <c r="H98" s="35">
        <f t="shared" si="108"/>
        <v>162.38732000000002</v>
      </c>
      <c r="I98" s="187" t="s">
        <v>754</v>
      </c>
      <c r="J98" s="212" t="s">
        <v>754</v>
      </c>
      <c r="K98" s="217">
        <f t="shared" si="109"/>
        <v>162.38732000000002</v>
      </c>
      <c r="L98" s="34">
        <f t="shared" si="102"/>
        <v>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176.57574016239738</v>
      </c>
      <c r="N98" s="57">
        <v>0</v>
      </c>
      <c r="O98" s="57">
        <v>0</v>
      </c>
      <c r="P98" s="61">
        <f t="shared" si="103"/>
        <v>2</v>
      </c>
      <c r="Q98" s="40">
        <f t="shared" si="110"/>
        <v>0</v>
      </c>
      <c r="R98" s="40">
        <f t="shared" si="111"/>
        <v>0</v>
      </c>
      <c r="S98" s="44">
        <f t="shared" si="112"/>
        <v>353.15148032479476</v>
      </c>
      <c r="T98" s="35">
        <f t="shared" si="113"/>
        <v>2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191.53235562952426</v>
      </c>
      <c r="V98" s="57">
        <v>0</v>
      </c>
      <c r="W98" s="57">
        <v>0</v>
      </c>
      <c r="X98" s="61">
        <f t="shared" si="104"/>
        <v>2</v>
      </c>
      <c r="Y98" s="40">
        <f t="shared" si="114"/>
        <v>0</v>
      </c>
      <c r="Z98" s="40">
        <f t="shared" si="115"/>
        <v>0</v>
      </c>
      <c r="AA98" s="44">
        <f t="shared" si="116"/>
        <v>383.06471125904852</v>
      </c>
      <c r="AB98" s="35">
        <f t="shared" si="117"/>
        <v>2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207.56163195158811</v>
      </c>
      <c r="AD98" s="57">
        <v>0</v>
      </c>
      <c r="AE98" s="57">
        <v>0</v>
      </c>
      <c r="AF98" s="61">
        <f t="shared" si="105"/>
        <v>2</v>
      </c>
      <c r="AG98" s="40">
        <f t="shared" si="118"/>
        <v>0</v>
      </c>
      <c r="AH98" s="40">
        <f t="shared" si="119"/>
        <v>0</v>
      </c>
      <c r="AI98" s="44">
        <f t="shared" si="120"/>
        <v>415.12326390317622</v>
      </c>
      <c r="AJ98" s="35">
        <f t="shared" si="106"/>
        <v>2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224.51144539591712</v>
      </c>
      <c r="AL98" s="57">
        <v>0</v>
      </c>
      <c r="AM98" s="57">
        <v>0</v>
      </c>
      <c r="AN98" s="61">
        <f t="shared" si="107"/>
        <v>2</v>
      </c>
      <c r="AO98" s="40">
        <f t="shared" si="121"/>
        <v>0</v>
      </c>
      <c r="AP98" s="40">
        <f t="shared" si="122"/>
        <v>0</v>
      </c>
      <c r="AQ98" s="44">
        <f t="shared" si="123"/>
        <v>449.02289079183424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5</v>
      </c>
      <c r="G99" s="35">
        <f>SUMIFS(WORKING!$AC$3:$AC$6802,WORKING!$A$3:$A$6802,Results!$D$3,WORKING!$B$3:$B$6802,Results!A99,WORKING!$C$3:$C$6802,Results!C99)/1000</f>
        <v>1609.8921399999999</v>
      </c>
      <c r="H99" s="35">
        <f t="shared" si="108"/>
        <v>321.97842800000001</v>
      </c>
      <c r="I99" s="187" t="s">
        <v>754</v>
      </c>
      <c r="J99" s="212" t="s">
        <v>754</v>
      </c>
      <c r="K99" s="217">
        <f t="shared" si="109"/>
        <v>321.97842800000001</v>
      </c>
      <c r="L99" s="34">
        <f t="shared" si="102"/>
        <v>5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350.84201226014619</v>
      </c>
      <c r="N99" s="57">
        <v>0</v>
      </c>
      <c r="O99" s="57">
        <v>0</v>
      </c>
      <c r="P99" s="61">
        <f t="shared" si="103"/>
        <v>5</v>
      </c>
      <c r="Q99" s="40">
        <f t="shared" si="110"/>
        <v>0</v>
      </c>
      <c r="R99" s="40">
        <f t="shared" si="111"/>
        <v>0</v>
      </c>
      <c r="S99" s="44">
        <f t="shared" si="112"/>
        <v>1754.210061300731</v>
      </c>
      <c r="T99" s="35">
        <f t="shared" si="113"/>
        <v>5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380.78282452022137</v>
      </c>
      <c r="V99" s="57">
        <v>0</v>
      </c>
      <c r="W99" s="57">
        <v>0</v>
      </c>
      <c r="X99" s="61">
        <f t="shared" si="104"/>
        <v>5</v>
      </c>
      <c r="Y99" s="40">
        <f t="shared" si="114"/>
        <v>0</v>
      </c>
      <c r="Z99" s="40">
        <f t="shared" si="115"/>
        <v>0</v>
      </c>
      <c r="AA99" s="44">
        <f t="shared" si="116"/>
        <v>1903.9141226011068</v>
      </c>
      <c r="AB99" s="35">
        <f t="shared" si="117"/>
        <v>5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412.89256338091286</v>
      </c>
      <c r="AD99" s="57">
        <v>0</v>
      </c>
      <c r="AE99" s="57">
        <v>0</v>
      </c>
      <c r="AF99" s="61">
        <f t="shared" si="105"/>
        <v>5</v>
      </c>
      <c r="AG99" s="40">
        <f t="shared" si="118"/>
        <v>0</v>
      </c>
      <c r="AH99" s="40">
        <f t="shared" si="119"/>
        <v>0</v>
      </c>
      <c r="AI99" s="44">
        <f t="shared" si="120"/>
        <v>2064.4628169045645</v>
      </c>
      <c r="AJ99" s="35">
        <f t="shared" si="106"/>
        <v>5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446.87240197884103</v>
      </c>
      <c r="AL99" s="57">
        <v>0</v>
      </c>
      <c r="AM99" s="57">
        <v>0</v>
      </c>
      <c r="AN99" s="61">
        <f t="shared" si="107"/>
        <v>5</v>
      </c>
      <c r="AO99" s="40">
        <f t="shared" si="121"/>
        <v>0</v>
      </c>
      <c r="AP99" s="40">
        <f t="shared" si="122"/>
        <v>0</v>
      </c>
      <c r="AQ99" s="44">
        <f t="shared" si="123"/>
        <v>2234.3620098942051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19</v>
      </c>
      <c r="G101" s="35">
        <f>SUMIFS(WORKING!$AC$3:$AC$6802,WORKING!$A$3:$A$6802,Results!$D$3,WORKING!$B$3:$B$6802,Results!A101,WORKING!$C$3:$C$6802,Results!C101)/1000</f>
        <v>8056.3715599999996</v>
      </c>
      <c r="H101" s="35">
        <f t="shared" si="108"/>
        <v>424.01955578947366</v>
      </c>
      <c r="I101" s="187" t="s">
        <v>754</v>
      </c>
      <c r="J101" s="212" t="s">
        <v>754</v>
      </c>
      <c r="K101" s="217">
        <f t="shared" si="109"/>
        <v>424.01955578947366</v>
      </c>
      <c r="L101" s="34">
        <f t="shared" si="102"/>
        <v>19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462.03631265337617</v>
      </c>
      <c r="N101" s="57">
        <v>0</v>
      </c>
      <c r="O101" s="57">
        <v>0</v>
      </c>
      <c r="P101" s="61">
        <f t="shared" si="103"/>
        <v>19</v>
      </c>
      <c r="Q101" s="40">
        <f t="shared" si="110"/>
        <v>0</v>
      </c>
      <c r="R101" s="40">
        <f t="shared" si="111"/>
        <v>0</v>
      </c>
      <c r="S101" s="44">
        <f t="shared" si="112"/>
        <v>8778.6899404141477</v>
      </c>
      <c r="T101" s="35">
        <f t="shared" si="113"/>
        <v>19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501.46735459122181</v>
      </c>
      <c r="V101" s="57">
        <v>0</v>
      </c>
      <c r="W101" s="57">
        <v>0</v>
      </c>
      <c r="X101" s="61">
        <f t="shared" si="104"/>
        <v>19</v>
      </c>
      <c r="Y101" s="40">
        <f t="shared" si="114"/>
        <v>0</v>
      </c>
      <c r="Z101" s="40">
        <f t="shared" si="115"/>
        <v>0</v>
      </c>
      <c r="AA101" s="44">
        <f t="shared" si="116"/>
        <v>9527.8797372332137</v>
      </c>
      <c r="AB101" s="35">
        <f t="shared" si="117"/>
        <v>19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543.75495566273503</v>
      </c>
      <c r="AD101" s="57">
        <v>0</v>
      </c>
      <c r="AE101" s="57">
        <v>0</v>
      </c>
      <c r="AF101" s="61">
        <f t="shared" si="105"/>
        <v>19</v>
      </c>
      <c r="AG101" s="40">
        <f t="shared" si="118"/>
        <v>0</v>
      </c>
      <c r="AH101" s="40">
        <f t="shared" si="119"/>
        <v>0</v>
      </c>
      <c r="AI101" s="44">
        <f t="shared" si="120"/>
        <v>10331.344157591966</v>
      </c>
      <c r="AJ101" s="35">
        <f t="shared" si="106"/>
        <v>19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588.50568329205225</v>
      </c>
      <c r="AL101" s="57">
        <v>0</v>
      </c>
      <c r="AM101" s="57">
        <v>0</v>
      </c>
      <c r="AN101" s="61">
        <f t="shared" si="107"/>
        <v>19</v>
      </c>
      <c r="AO101" s="40">
        <f t="shared" si="121"/>
        <v>0</v>
      </c>
      <c r="AP101" s="40">
        <f t="shared" si="122"/>
        <v>0</v>
      </c>
      <c r="AQ101" s="44">
        <f t="shared" si="123"/>
        <v>11181.607982548992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188.80432000000002</v>
      </c>
      <c r="H102" s="35">
        <f t="shared" si="108"/>
        <v>0</v>
      </c>
      <c r="I102" s="187" t="s">
        <v>754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24</v>
      </c>
      <c r="G103" s="35">
        <f>SUMIFS(WORKING!$AC$3:$AC$6802,WORKING!$A$3:$A$6802,Results!$D$3,WORKING!$B$3:$B$6802,Results!A103,WORKING!$C$3:$C$6802,Results!C103)/1000</f>
        <v>16802.750909999999</v>
      </c>
      <c r="H103" s="35">
        <f t="shared" si="108"/>
        <v>700.11462124999991</v>
      </c>
      <c r="I103" s="187" t="s">
        <v>754</v>
      </c>
      <c r="J103" s="212" t="s">
        <v>754</v>
      </c>
      <c r="K103" s="217">
        <f t="shared" si="109"/>
        <v>700.11462124999991</v>
      </c>
      <c r="L103" s="34">
        <f t="shared" si="102"/>
        <v>24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764.46441738094995</v>
      </c>
      <c r="N103" s="57">
        <v>0</v>
      </c>
      <c r="O103" s="57">
        <v>0</v>
      </c>
      <c r="P103" s="61">
        <f t="shared" si="103"/>
        <v>24</v>
      </c>
      <c r="Q103" s="40">
        <f t="shared" si="110"/>
        <v>0</v>
      </c>
      <c r="R103" s="40">
        <f t="shared" si="111"/>
        <v>0</v>
      </c>
      <c r="S103" s="44">
        <f t="shared" si="112"/>
        <v>18347.146017142797</v>
      </c>
      <c r="T103" s="35">
        <f t="shared" si="113"/>
        <v>24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830.0741894936059</v>
      </c>
      <c r="V103" s="57">
        <v>0</v>
      </c>
      <c r="W103" s="57">
        <v>0</v>
      </c>
      <c r="X103" s="61">
        <f t="shared" si="104"/>
        <v>24</v>
      </c>
      <c r="Y103" s="40">
        <f t="shared" si="114"/>
        <v>0</v>
      </c>
      <c r="Z103" s="40">
        <f t="shared" si="115"/>
        <v>0</v>
      </c>
      <c r="AA103" s="44">
        <f t="shared" si="116"/>
        <v>19921.780547846542</v>
      </c>
      <c r="AB103" s="35">
        <f t="shared" si="117"/>
        <v>24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900.47253676408559</v>
      </c>
      <c r="AD103" s="57">
        <v>0</v>
      </c>
      <c r="AE103" s="57">
        <v>0</v>
      </c>
      <c r="AF103" s="61">
        <f t="shared" si="105"/>
        <v>24</v>
      </c>
      <c r="AG103" s="40">
        <f t="shared" si="118"/>
        <v>0</v>
      </c>
      <c r="AH103" s="40">
        <f t="shared" si="119"/>
        <v>0</v>
      </c>
      <c r="AI103" s="44">
        <f t="shared" si="120"/>
        <v>21611.340882338052</v>
      </c>
      <c r="AJ103" s="35">
        <f t="shared" si="106"/>
        <v>24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975.01376741495892</v>
      </c>
      <c r="AL103" s="57">
        <v>0</v>
      </c>
      <c r="AM103" s="57">
        <v>0</v>
      </c>
      <c r="AN103" s="61">
        <f t="shared" si="107"/>
        <v>24</v>
      </c>
      <c r="AO103" s="40">
        <f t="shared" si="121"/>
        <v>0</v>
      </c>
      <c r="AP103" s="40">
        <f t="shared" si="122"/>
        <v>0</v>
      </c>
      <c r="AQ103" s="44">
        <f t="shared" si="123"/>
        <v>23400.330417959012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15</v>
      </c>
      <c r="G104" s="35">
        <f>SUMIFS(WORKING!$AC$3:$AC$6802,WORKING!$A$3:$A$6802,Results!$D$3,WORKING!$B$3:$B$6802,Results!A104,WORKING!$C$3:$C$6802,Results!C104)/1000</f>
        <v>13554.956159999996</v>
      </c>
      <c r="H104" s="35">
        <f t="shared" si="108"/>
        <v>903.66374399999972</v>
      </c>
      <c r="I104" s="187" t="s">
        <v>754</v>
      </c>
      <c r="J104" s="212" t="s">
        <v>754</v>
      </c>
      <c r="K104" s="217">
        <f t="shared" si="109"/>
        <v>903.66374399999972</v>
      </c>
      <c r="L104" s="34">
        <f t="shared" si="102"/>
        <v>15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947.12347469564963</v>
      </c>
      <c r="N104" s="57">
        <v>0</v>
      </c>
      <c r="O104" s="57">
        <v>0</v>
      </c>
      <c r="P104" s="61">
        <f t="shared" si="103"/>
        <v>15</v>
      </c>
      <c r="Q104" s="40">
        <f t="shared" si="110"/>
        <v>0</v>
      </c>
      <c r="R104" s="40">
        <f t="shared" si="111"/>
        <v>0</v>
      </c>
      <c r="S104" s="44">
        <f t="shared" si="112"/>
        <v>14206.852120434745</v>
      </c>
      <c r="T104" s="35">
        <f t="shared" si="113"/>
        <v>15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1018.6192685571369</v>
      </c>
      <c r="V104" s="57">
        <v>0</v>
      </c>
      <c r="W104" s="57">
        <v>0</v>
      </c>
      <c r="X104" s="61">
        <f t="shared" si="104"/>
        <v>15</v>
      </c>
      <c r="Y104" s="40">
        <f t="shared" si="114"/>
        <v>0</v>
      </c>
      <c r="Z104" s="40">
        <f t="shared" si="115"/>
        <v>0</v>
      </c>
      <c r="AA104" s="44">
        <f t="shared" si="116"/>
        <v>15279.289028357054</v>
      </c>
      <c r="AB104" s="35">
        <f t="shared" si="117"/>
        <v>15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1094.4785848891029</v>
      </c>
      <c r="AD104" s="57">
        <v>0</v>
      </c>
      <c r="AE104" s="57">
        <v>0</v>
      </c>
      <c r="AF104" s="61">
        <f t="shared" si="105"/>
        <v>15</v>
      </c>
      <c r="AG104" s="40">
        <f t="shared" si="118"/>
        <v>0</v>
      </c>
      <c r="AH104" s="40">
        <f t="shared" si="119"/>
        <v>0</v>
      </c>
      <c r="AI104" s="44">
        <f t="shared" si="120"/>
        <v>16417.178773336542</v>
      </c>
      <c r="AJ104" s="35">
        <f t="shared" si="106"/>
        <v>15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1173.766409239438</v>
      </c>
      <c r="AL104" s="57">
        <v>0</v>
      </c>
      <c r="AM104" s="57">
        <v>0</v>
      </c>
      <c r="AN104" s="61">
        <f t="shared" si="107"/>
        <v>15</v>
      </c>
      <c r="AO104" s="40">
        <f t="shared" si="121"/>
        <v>0</v>
      </c>
      <c r="AP104" s="40">
        <f t="shared" si="122"/>
        <v>0</v>
      </c>
      <c r="AQ104" s="44">
        <f t="shared" si="123"/>
        <v>17606.49613859157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5</v>
      </c>
      <c r="G105" s="35">
        <f>SUMIFS(WORKING!$AC$3:$AC$6802,WORKING!$A$3:$A$6802,Results!$D$3,WORKING!$B$3:$B$6802,Results!A105,WORKING!$C$3:$C$6802,Results!C105)/1000</f>
        <v>4480.9788200000003</v>
      </c>
      <c r="H105" s="35">
        <f t="shared" si="108"/>
        <v>896.19576400000005</v>
      </c>
      <c r="I105" s="187" t="s">
        <v>754</v>
      </c>
      <c r="J105" s="212" t="s">
        <v>754</v>
      </c>
      <c r="K105" s="217">
        <f t="shared" si="109"/>
        <v>896.19576400000005</v>
      </c>
      <c r="L105" s="34">
        <f t="shared" si="102"/>
        <v>5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939.54048887076999</v>
      </c>
      <c r="N105" s="57">
        <v>0</v>
      </c>
      <c r="O105" s="57">
        <v>0</v>
      </c>
      <c r="P105" s="61">
        <f t="shared" si="103"/>
        <v>5</v>
      </c>
      <c r="Q105" s="40">
        <f t="shared" si="110"/>
        <v>0</v>
      </c>
      <c r="R105" s="40">
        <f t="shared" si="111"/>
        <v>0</v>
      </c>
      <c r="S105" s="44">
        <f t="shared" si="112"/>
        <v>4697.7024443538503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1010.7265124427927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5053.632562213963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1086.2803163565047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5431.4015817825239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1165.2770402600704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5826.3852013003525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9</v>
      </c>
      <c r="G106" s="35">
        <f>SUMIFS(WORKING!$AC$3:$AC$6802,WORKING!$A$3:$A$6802,Results!$D$3,WORKING!$B$3:$B$6802,Results!A106,WORKING!$C$3:$C$6802,Results!C106)/1000</f>
        <v>14800.528100000001</v>
      </c>
      <c r="H106" s="35">
        <f t="shared" si="108"/>
        <v>1644.5031222222224</v>
      </c>
      <c r="I106" s="187" t="s">
        <v>754</v>
      </c>
      <c r="J106" s="212" t="s">
        <v>754</v>
      </c>
      <c r="K106" s="217">
        <f t="shared" si="109"/>
        <v>1644.5031222222224</v>
      </c>
      <c r="L106" s="34">
        <f t="shared" si="102"/>
        <v>9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1723.9381528745889</v>
      </c>
      <c r="N106" s="57">
        <v>0</v>
      </c>
      <c r="O106" s="57">
        <v>0</v>
      </c>
      <c r="P106" s="61">
        <f t="shared" si="103"/>
        <v>9</v>
      </c>
      <c r="Q106" s="40">
        <f t="shared" si="110"/>
        <v>0</v>
      </c>
      <c r="R106" s="40">
        <f t="shared" si="111"/>
        <v>0</v>
      </c>
      <c r="S106" s="44">
        <f t="shared" si="112"/>
        <v>15515.4433758713</v>
      </c>
      <c r="T106" s="35">
        <f t="shared" si="113"/>
        <v>9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1854.4460526377873</v>
      </c>
      <c r="V106" s="57">
        <v>0</v>
      </c>
      <c r="W106" s="57">
        <v>0</v>
      </c>
      <c r="X106" s="61">
        <f t="shared" si="104"/>
        <v>9</v>
      </c>
      <c r="Y106" s="40">
        <f t="shared" si="114"/>
        <v>0</v>
      </c>
      <c r="Z106" s="40">
        <f t="shared" si="115"/>
        <v>0</v>
      </c>
      <c r="AA106" s="44">
        <f t="shared" si="116"/>
        <v>16690.014473740084</v>
      </c>
      <c r="AB106" s="35">
        <f t="shared" si="117"/>
        <v>9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1992.9519193836695</v>
      </c>
      <c r="AD106" s="57">
        <v>0</v>
      </c>
      <c r="AE106" s="57">
        <v>0</v>
      </c>
      <c r="AF106" s="61">
        <f t="shared" si="105"/>
        <v>9</v>
      </c>
      <c r="AG106" s="40">
        <f t="shared" si="118"/>
        <v>0</v>
      </c>
      <c r="AH106" s="40">
        <f t="shared" si="119"/>
        <v>0</v>
      </c>
      <c r="AI106" s="44">
        <f t="shared" si="120"/>
        <v>17936.567274453024</v>
      </c>
      <c r="AJ106" s="35">
        <f t="shared" si="106"/>
        <v>9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2137.7576340411674</v>
      </c>
      <c r="AL106" s="57">
        <v>0</v>
      </c>
      <c r="AM106" s="57">
        <v>0</v>
      </c>
      <c r="AN106" s="61">
        <f t="shared" si="107"/>
        <v>9</v>
      </c>
      <c r="AO106" s="40">
        <f t="shared" si="121"/>
        <v>0</v>
      </c>
      <c r="AP106" s="40">
        <f t="shared" si="122"/>
        <v>0</v>
      </c>
      <c r="AQ106" s="44">
        <f t="shared" si="123"/>
        <v>19239.818706370508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90</v>
      </c>
      <c r="G112" s="41">
        <f>SUM(G92:G111)</f>
        <v>60714.763379999997</v>
      </c>
      <c r="H112" s="41">
        <f>IFERROR(G112/F112,0)</f>
        <v>674.60848199999998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90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60714.763379999997</v>
      </c>
      <c r="K112" s="41">
        <f>IFERROR(J112/I112,"")</f>
        <v>674.60848199999998</v>
      </c>
      <c r="L112" s="41">
        <f>SUM(L92:L111)</f>
        <v>90</v>
      </c>
      <c r="M112" s="41">
        <f>IFERROR(S112/P112,0)</f>
        <v>718.11282975640904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90</v>
      </c>
      <c r="Q112" s="41">
        <f t="shared" si="124"/>
        <v>0</v>
      </c>
      <c r="R112" s="41">
        <f t="shared" si="124"/>
        <v>0</v>
      </c>
      <c r="S112" s="45">
        <f t="shared" si="124"/>
        <v>64630.154678076811</v>
      </c>
      <c r="T112" s="41">
        <f t="shared" si="124"/>
        <v>90</v>
      </c>
      <c r="U112" s="41">
        <f>IFERROR(AA112/X112,0)</f>
        <v>775.78006800181379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90</v>
      </c>
      <c r="Y112" s="41">
        <f t="shared" si="125"/>
        <v>0</v>
      </c>
      <c r="Z112" s="41">
        <f t="shared" si="125"/>
        <v>0</v>
      </c>
      <c r="AA112" s="45">
        <f t="shared" si="125"/>
        <v>69820.206120163246</v>
      </c>
      <c r="AB112" s="41">
        <f t="shared" si="125"/>
        <v>90</v>
      </c>
      <c r="AC112" s="41">
        <f>IFERROR(AI112/AF112,0)</f>
        <v>837.30901643046298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90</v>
      </c>
      <c r="AG112" s="41">
        <f t="shared" si="126"/>
        <v>0</v>
      </c>
      <c r="AH112" s="41">
        <f t="shared" si="126"/>
        <v>0</v>
      </c>
      <c r="AI112" s="45">
        <f t="shared" si="126"/>
        <v>75357.811478741671</v>
      </c>
      <c r="AJ112" s="41">
        <f t="shared" si="126"/>
        <v>90</v>
      </c>
      <c r="AK112" s="41">
        <f>IFERROR(AQ112/AN112,0)</f>
        <v>902.03822454951364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90</v>
      </c>
      <c r="AO112" s="41">
        <f t="shared" si="127"/>
        <v>0</v>
      </c>
      <c r="AP112" s="41">
        <f t="shared" si="127"/>
        <v>0</v>
      </c>
      <c r="AQ112" s="45">
        <f t="shared" si="127"/>
        <v>81183.440209456225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80868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91207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104519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112462.444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16237.845321923189</v>
      </c>
      <c r="T114" s="39"/>
      <c r="U114" s="39"/>
      <c r="V114" s="53"/>
      <c r="W114" s="53"/>
      <c r="X114" s="110"/>
      <c r="Y114" s="39"/>
      <c r="Z114" s="39"/>
      <c r="AA114" s="54">
        <f>AA113-AA112</f>
        <v>21386.793879836754</v>
      </c>
      <c r="AB114" s="39"/>
      <c r="AC114" s="53"/>
      <c r="AD114" s="53"/>
      <c r="AE114" s="110"/>
      <c r="AF114" s="39"/>
      <c r="AG114" s="39"/>
      <c r="AH114" s="39"/>
      <c r="AI114" s="54">
        <f>AI113-AI112</f>
        <v>29161.188521258329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31279.003790543778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Sector Planning and Monitoring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1</v>
      </c>
      <c r="G120" s="35">
        <f>SUMIFS(WORKING!$AC$3:$AC$6802,WORKING!$A$3:$A$6802,Results!$D$3,WORKING!$B$3:$B$6802,Results!A120,WORKING!$C$3:$C$6802,Results!C120)/1000</f>
        <v>86.82838000000001</v>
      </c>
      <c r="H120" s="35">
        <f>IFERROR(G120/F120,0)</f>
        <v>86.82838000000001</v>
      </c>
      <c r="I120" s="156" t="s">
        <v>754</v>
      </c>
      <c r="J120" s="211" t="s">
        <v>754</v>
      </c>
      <c r="K120" s="217">
        <f>IFERROR(IF(J120="",G120,J120)/IF(I120="",F120,I120),"")</f>
        <v>86.82838000000001</v>
      </c>
      <c r="L120" s="34">
        <f t="shared" ref="L120:L139" si="128">IF(I120="",F120,I120)</f>
        <v>1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94.828746933200009</v>
      </c>
      <c r="N120" s="57">
        <v>0</v>
      </c>
      <c r="O120" s="57">
        <v>0</v>
      </c>
      <c r="P120" s="61">
        <f t="shared" ref="P120:P139" si="129">-O120+L120+N120</f>
        <v>1</v>
      </c>
      <c r="Q120" s="40">
        <f>M120*N120</f>
        <v>0</v>
      </c>
      <c r="R120" s="40">
        <f>-M120*O120</f>
        <v>0</v>
      </c>
      <c r="S120" s="44">
        <f>M120*P120</f>
        <v>94.828746933200009</v>
      </c>
      <c r="T120" s="35">
        <f>P120</f>
        <v>1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102.98876060680188</v>
      </c>
      <c r="V120" s="57">
        <v>0</v>
      </c>
      <c r="W120" s="57">
        <v>0</v>
      </c>
      <c r="X120" s="61">
        <f t="shared" ref="X120:X139" si="130">-W120+T120+V120</f>
        <v>1</v>
      </c>
      <c r="Y120" s="40">
        <f>U120*V120</f>
        <v>0</v>
      </c>
      <c r="Z120" s="40">
        <f>-U120*W120</f>
        <v>0</v>
      </c>
      <c r="AA120" s="44">
        <f>U120*X120</f>
        <v>102.98876060680188</v>
      </c>
      <c r="AB120" s="35">
        <f>X120</f>
        <v>1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111.74640986500125</v>
      </c>
      <c r="AD120" s="57">
        <v>0</v>
      </c>
      <c r="AE120" s="57">
        <v>0</v>
      </c>
      <c r="AF120" s="61">
        <f t="shared" ref="AF120:AF139" si="131">-AE120+AB120+AD120</f>
        <v>1</v>
      </c>
      <c r="AG120" s="40">
        <f>AC120*AD120</f>
        <v>0</v>
      </c>
      <c r="AH120" s="40">
        <f>-AC120*AE120</f>
        <v>0</v>
      </c>
      <c r="AI120" s="44">
        <f>AC120*AF120</f>
        <v>111.74640986500125</v>
      </c>
      <c r="AJ120" s="35">
        <f t="shared" ref="AJ120:AJ139" si="132">AF120</f>
        <v>1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121.02192061584567</v>
      </c>
      <c r="AL120" s="57">
        <v>0</v>
      </c>
      <c r="AM120" s="57">
        <v>0</v>
      </c>
      <c r="AN120" s="61">
        <f t="shared" ref="AN120:AN139" si="133">-AM120+AJ120+AL120</f>
        <v>1</v>
      </c>
      <c r="AO120" s="40">
        <f>AK120*AL120</f>
        <v>0</v>
      </c>
      <c r="AP120" s="40">
        <f>-AK120*AM120</f>
        <v>0</v>
      </c>
      <c r="AQ120" s="44">
        <f>AK120*AN120</f>
        <v>121.02192061584567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244.86411000000001</v>
      </c>
      <c r="H126" s="35">
        <f t="shared" si="134"/>
        <v>244.86411000000001</v>
      </c>
      <c r="I126" s="187" t="s">
        <v>754</v>
      </c>
      <c r="J126" s="212" t="s">
        <v>754</v>
      </c>
      <c r="K126" s="217">
        <f t="shared" si="135"/>
        <v>244.86411000000001</v>
      </c>
      <c r="L126" s="34">
        <f t="shared" si="128"/>
        <v>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266.16633282909538</v>
      </c>
      <c r="N126" s="57">
        <v>0</v>
      </c>
      <c r="O126" s="57">
        <v>0</v>
      </c>
      <c r="P126" s="61">
        <f t="shared" si="129"/>
        <v>1</v>
      </c>
      <c r="Q126" s="40">
        <f t="shared" si="136"/>
        <v>0</v>
      </c>
      <c r="R126" s="40">
        <f t="shared" si="137"/>
        <v>0</v>
      </c>
      <c r="S126" s="44">
        <f t="shared" si="138"/>
        <v>266.16633282909538</v>
      </c>
      <c r="T126" s="35">
        <f t="shared" si="139"/>
        <v>1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288.68437669087467</v>
      </c>
      <c r="V126" s="57">
        <v>0</v>
      </c>
      <c r="W126" s="57">
        <v>0</v>
      </c>
      <c r="X126" s="61">
        <f t="shared" si="130"/>
        <v>1</v>
      </c>
      <c r="Y126" s="40">
        <f t="shared" si="140"/>
        <v>0</v>
      </c>
      <c r="Z126" s="40">
        <f t="shared" si="141"/>
        <v>0</v>
      </c>
      <c r="AA126" s="44">
        <f t="shared" si="142"/>
        <v>288.68437669087467</v>
      </c>
      <c r="AB126" s="35">
        <f t="shared" si="143"/>
        <v>1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312.81470387766478</v>
      </c>
      <c r="AD126" s="57">
        <v>0</v>
      </c>
      <c r="AE126" s="57">
        <v>0</v>
      </c>
      <c r="AF126" s="61">
        <f t="shared" si="131"/>
        <v>1</v>
      </c>
      <c r="AG126" s="40">
        <f t="shared" si="144"/>
        <v>0</v>
      </c>
      <c r="AH126" s="40">
        <f t="shared" si="145"/>
        <v>0</v>
      </c>
      <c r="AI126" s="44">
        <f t="shared" si="146"/>
        <v>312.81470387766478</v>
      </c>
      <c r="AJ126" s="35">
        <f t="shared" si="132"/>
        <v>1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338.32752447703149</v>
      </c>
      <c r="AL126" s="57">
        <v>0</v>
      </c>
      <c r="AM126" s="57">
        <v>0</v>
      </c>
      <c r="AN126" s="61">
        <f t="shared" si="133"/>
        <v>1</v>
      </c>
      <c r="AO126" s="40">
        <f t="shared" si="147"/>
        <v>0</v>
      </c>
      <c r="AP126" s="40">
        <f t="shared" si="148"/>
        <v>0</v>
      </c>
      <c r="AQ126" s="44">
        <f t="shared" si="149"/>
        <v>338.32752447703149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</v>
      </c>
      <c r="G129" s="35">
        <f>SUMIFS(WORKING!$AC$3:$AC$6802,WORKING!$A$3:$A$6802,Results!$D$3,WORKING!$B$3:$B$6802,Results!A129,WORKING!$C$3:$C$6802,Results!C129)/1000</f>
        <v>558.88427999999999</v>
      </c>
      <c r="H129" s="35">
        <f t="shared" si="134"/>
        <v>558.88427999999999</v>
      </c>
      <c r="I129" s="187" t="s">
        <v>754</v>
      </c>
      <c r="J129" s="212" t="s">
        <v>754</v>
      </c>
      <c r="K129" s="217">
        <f t="shared" si="135"/>
        <v>558.88427999999999</v>
      </c>
      <c r="L129" s="34">
        <f t="shared" si="128"/>
        <v>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608.88675589770719</v>
      </c>
      <c r="N129" s="57">
        <v>0</v>
      </c>
      <c r="O129" s="57">
        <v>0</v>
      </c>
      <c r="P129" s="61">
        <f t="shared" si="129"/>
        <v>1</v>
      </c>
      <c r="Q129" s="40">
        <f t="shared" si="136"/>
        <v>0</v>
      </c>
      <c r="R129" s="40">
        <f t="shared" si="137"/>
        <v>0</v>
      </c>
      <c r="S129" s="44">
        <f t="shared" si="138"/>
        <v>608.88675589770719</v>
      </c>
      <c r="T129" s="35">
        <f t="shared" si="139"/>
        <v>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660.81227730894523</v>
      </c>
      <c r="V129" s="57">
        <v>0</v>
      </c>
      <c r="W129" s="57">
        <v>0</v>
      </c>
      <c r="X129" s="61">
        <f t="shared" si="130"/>
        <v>1</v>
      </c>
      <c r="Y129" s="40">
        <f t="shared" si="140"/>
        <v>0</v>
      </c>
      <c r="Z129" s="40">
        <f t="shared" si="141"/>
        <v>0</v>
      </c>
      <c r="AA129" s="44">
        <f t="shared" si="142"/>
        <v>660.81227730894523</v>
      </c>
      <c r="AB129" s="35">
        <f t="shared" si="143"/>
        <v>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716.49612862073911</v>
      </c>
      <c r="AD129" s="57">
        <v>0</v>
      </c>
      <c r="AE129" s="57">
        <v>0</v>
      </c>
      <c r="AF129" s="61">
        <f t="shared" si="131"/>
        <v>1</v>
      </c>
      <c r="AG129" s="40">
        <f t="shared" si="144"/>
        <v>0</v>
      </c>
      <c r="AH129" s="40">
        <f t="shared" si="145"/>
        <v>0</v>
      </c>
      <c r="AI129" s="44">
        <f t="shared" si="146"/>
        <v>716.49612862073911</v>
      </c>
      <c r="AJ129" s="35">
        <f t="shared" si="132"/>
        <v>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775.41963249476316</v>
      </c>
      <c r="AL129" s="57">
        <v>0</v>
      </c>
      <c r="AM129" s="57">
        <v>0</v>
      </c>
      <c r="AN129" s="61">
        <f t="shared" si="133"/>
        <v>1</v>
      </c>
      <c r="AO129" s="40">
        <f t="shared" si="147"/>
        <v>0</v>
      </c>
      <c r="AP129" s="40">
        <f t="shared" si="148"/>
        <v>0</v>
      </c>
      <c r="AQ129" s="44">
        <f t="shared" si="149"/>
        <v>775.41963249476316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 t="s">
        <v>754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3</v>
      </c>
      <c r="G131" s="35">
        <f>SUMIFS(WORKING!$AC$3:$AC$6802,WORKING!$A$3:$A$6802,Results!$D$3,WORKING!$B$3:$B$6802,Results!A131,WORKING!$C$3:$C$6802,Results!C131)/1000</f>
        <v>2098.3847700000001</v>
      </c>
      <c r="H131" s="35">
        <f t="shared" si="134"/>
        <v>699.46159</v>
      </c>
      <c r="I131" s="187" t="s">
        <v>754</v>
      </c>
      <c r="J131" s="212" t="s">
        <v>754</v>
      </c>
      <c r="K131" s="217">
        <f t="shared" si="135"/>
        <v>699.46159</v>
      </c>
      <c r="L131" s="34">
        <f t="shared" si="128"/>
        <v>3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763.66997974819992</v>
      </c>
      <c r="N131" s="57">
        <v>0</v>
      </c>
      <c r="O131" s="57">
        <v>0</v>
      </c>
      <c r="P131" s="61">
        <f t="shared" si="129"/>
        <v>3</v>
      </c>
      <c r="Q131" s="40">
        <f t="shared" si="136"/>
        <v>0</v>
      </c>
      <c r="R131" s="40">
        <f t="shared" si="137"/>
        <v>0</v>
      </c>
      <c r="S131" s="44">
        <f t="shared" si="138"/>
        <v>2291.0099392446</v>
      </c>
      <c r="T131" s="35">
        <f t="shared" si="139"/>
        <v>3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829.1232101424423</v>
      </c>
      <c r="V131" s="57">
        <v>0</v>
      </c>
      <c r="W131" s="57">
        <v>0</v>
      </c>
      <c r="X131" s="61">
        <f t="shared" si="130"/>
        <v>3</v>
      </c>
      <c r="Y131" s="40">
        <f t="shared" si="140"/>
        <v>0</v>
      </c>
      <c r="Z131" s="40">
        <f t="shared" si="141"/>
        <v>0</v>
      </c>
      <c r="AA131" s="44">
        <f t="shared" si="142"/>
        <v>2487.3696304273271</v>
      </c>
      <c r="AB131" s="35">
        <f t="shared" si="143"/>
        <v>3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899.34506209425547</v>
      </c>
      <c r="AD131" s="57">
        <v>0</v>
      </c>
      <c r="AE131" s="57">
        <v>0</v>
      </c>
      <c r="AF131" s="61">
        <f t="shared" si="131"/>
        <v>3</v>
      </c>
      <c r="AG131" s="40">
        <f t="shared" si="144"/>
        <v>0</v>
      </c>
      <c r="AH131" s="40">
        <f t="shared" si="145"/>
        <v>0</v>
      </c>
      <c r="AI131" s="44">
        <f t="shared" si="146"/>
        <v>2698.0351862827665</v>
      </c>
      <c r="AJ131" s="35">
        <f t="shared" si="132"/>
        <v>3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973.68919436816384</v>
      </c>
      <c r="AL131" s="57">
        <v>0</v>
      </c>
      <c r="AM131" s="57">
        <v>0</v>
      </c>
      <c r="AN131" s="61">
        <f t="shared" si="133"/>
        <v>3</v>
      </c>
      <c r="AO131" s="40">
        <f t="shared" si="147"/>
        <v>0</v>
      </c>
      <c r="AP131" s="40">
        <f t="shared" si="148"/>
        <v>0</v>
      </c>
      <c r="AQ131" s="44">
        <f t="shared" si="149"/>
        <v>2921.0675831044914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</v>
      </c>
      <c r="G132" s="35">
        <f>SUMIFS(WORKING!$AC$3:$AC$6802,WORKING!$A$3:$A$6802,Results!$D$3,WORKING!$B$3:$B$6802,Results!A132,WORKING!$C$3:$C$6802,Results!C132)/1000</f>
        <v>1729.1271100000001</v>
      </c>
      <c r="H132" s="35">
        <f t="shared" si="134"/>
        <v>1729.1271100000001</v>
      </c>
      <c r="I132" s="187" t="s">
        <v>754</v>
      </c>
      <c r="J132" s="212" t="s">
        <v>754</v>
      </c>
      <c r="K132" s="217">
        <f t="shared" si="135"/>
        <v>1729.1271100000001</v>
      </c>
      <c r="L132" s="34">
        <f t="shared" si="128"/>
        <v>1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1812.5476706749</v>
      </c>
      <c r="N132" s="57">
        <v>0</v>
      </c>
      <c r="O132" s="57">
        <v>0</v>
      </c>
      <c r="P132" s="61">
        <f t="shared" si="129"/>
        <v>1</v>
      </c>
      <c r="Q132" s="40">
        <f t="shared" si="136"/>
        <v>0</v>
      </c>
      <c r="R132" s="40">
        <f t="shared" si="137"/>
        <v>0</v>
      </c>
      <c r="S132" s="44">
        <f t="shared" si="138"/>
        <v>1812.5476706749</v>
      </c>
      <c r="T132" s="35">
        <f t="shared" si="139"/>
        <v>1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1949.6537923522674</v>
      </c>
      <c r="V132" s="57">
        <v>0</v>
      </c>
      <c r="W132" s="57">
        <v>0</v>
      </c>
      <c r="X132" s="61">
        <f t="shared" si="130"/>
        <v>1</v>
      </c>
      <c r="Y132" s="40">
        <f t="shared" si="140"/>
        <v>0</v>
      </c>
      <c r="Z132" s="40">
        <f t="shared" si="141"/>
        <v>0</v>
      </c>
      <c r="AA132" s="44">
        <f t="shared" si="142"/>
        <v>1949.6537923522674</v>
      </c>
      <c r="AB132" s="35">
        <f t="shared" si="143"/>
        <v>1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2095.1525750152523</v>
      </c>
      <c r="AD132" s="57">
        <v>0</v>
      </c>
      <c r="AE132" s="57">
        <v>0</v>
      </c>
      <c r="AF132" s="61">
        <f t="shared" si="131"/>
        <v>1</v>
      </c>
      <c r="AG132" s="40">
        <f t="shared" si="144"/>
        <v>0</v>
      </c>
      <c r="AH132" s="40">
        <f t="shared" si="145"/>
        <v>0</v>
      </c>
      <c r="AI132" s="44">
        <f t="shared" si="146"/>
        <v>2095.1525750152523</v>
      </c>
      <c r="AJ132" s="35">
        <f t="shared" si="132"/>
        <v>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2247.2574994260681</v>
      </c>
      <c r="AL132" s="57">
        <v>0</v>
      </c>
      <c r="AM132" s="57">
        <v>0</v>
      </c>
      <c r="AN132" s="61">
        <f t="shared" si="133"/>
        <v>1</v>
      </c>
      <c r="AO132" s="40">
        <f t="shared" si="147"/>
        <v>0</v>
      </c>
      <c r="AP132" s="40">
        <f t="shared" si="148"/>
        <v>0</v>
      </c>
      <c r="AQ132" s="44">
        <f t="shared" si="149"/>
        <v>2247.2574994260681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1</v>
      </c>
      <c r="G133" s="35">
        <f>SUMIFS(WORKING!$AC$3:$AC$6802,WORKING!$A$3:$A$6802,Results!$D$3,WORKING!$B$3:$B$6802,Results!A133,WORKING!$C$3:$C$6802,Results!C133)/1000</f>
        <v>1199.03152</v>
      </c>
      <c r="H133" s="35">
        <f t="shared" si="134"/>
        <v>1199.03152</v>
      </c>
      <c r="I133" s="187" t="s">
        <v>754</v>
      </c>
      <c r="J133" s="212" t="s">
        <v>754</v>
      </c>
      <c r="K133" s="217">
        <f t="shared" si="135"/>
        <v>1199.03152</v>
      </c>
      <c r="L133" s="34">
        <f t="shared" si="128"/>
        <v>1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1256.9803731321999</v>
      </c>
      <c r="N133" s="57">
        <v>0</v>
      </c>
      <c r="O133" s="57">
        <v>0</v>
      </c>
      <c r="P133" s="61">
        <f t="shared" si="129"/>
        <v>1</v>
      </c>
      <c r="Q133" s="40">
        <f t="shared" si="136"/>
        <v>0</v>
      </c>
      <c r="R133" s="40">
        <f t="shared" si="137"/>
        <v>0</v>
      </c>
      <c r="S133" s="44">
        <f t="shared" si="138"/>
        <v>1256.9803731321999</v>
      </c>
      <c r="T133" s="35">
        <f t="shared" si="139"/>
        <v>1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1352.1719947402462</v>
      </c>
      <c r="V133" s="57">
        <v>0</v>
      </c>
      <c r="W133" s="57">
        <v>0</v>
      </c>
      <c r="X133" s="61">
        <f t="shared" si="130"/>
        <v>1</v>
      </c>
      <c r="Y133" s="40">
        <f t="shared" si="140"/>
        <v>0</v>
      </c>
      <c r="Z133" s="40">
        <f t="shared" si="141"/>
        <v>0</v>
      </c>
      <c r="AA133" s="44">
        <f t="shared" si="142"/>
        <v>1352.1719947402462</v>
      </c>
      <c r="AB133" s="35">
        <f t="shared" si="143"/>
        <v>1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1453.2002773404477</v>
      </c>
      <c r="AD133" s="57">
        <v>0</v>
      </c>
      <c r="AE133" s="57">
        <v>0</v>
      </c>
      <c r="AF133" s="61">
        <f t="shared" si="131"/>
        <v>1</v>
      </c>
      <c r="AG133" s="40">
        <f t="shared" si="144"/>
        <v>0</v>
      </c>
      <c r="AH133" s="40">
        <f t="shared" si="145"/>
        <v>0</v>
      </c>
      <c r="AI133" s="44">
        <f t="shared" si="146"/>
        <v>1453.2002773404477</v>
      </c>
      <c r="AJ133" s="35">
        <f t="shared" si="132"/>
        <v>1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1558.8274127338548</v>
      </c>
      <c r="AL133" s="57">
        <v>0</v>
      </c>
      <c r="AM133" s="57">
        <v>0</v>
      </c>
      <c r="AN133" s="61">
        <f t="shared" si="133"/>
        <v>1</v>
      </c>
      <c r="AO133" s="40">
        <f t="shared" si="147"/>
        <v>0</v>
      </c>
      <c r="AP133" s="40">
        <f t="shared" si="148"/>
        <v>0</v>
      </c>
      <c r="AQ133" s="44">
        <f t="shared" si="149"/>
        <v>1558.8274127338548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8</v>
      </c>
      <c r="G140" s="41">
        <f>SUM(G120:G139)</f>
        <v>5917.1201700000001</v>
      </c>
      <c r="H140" s="41">
        <f>IFERROR(G140/F140,0)</f>
        <v>739.64002125000002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8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5917.1201700000001</v>
      </c>
      <c r="K140" s="41">
        <f>IFERROR(J140/I140,"")</f>
        <v>739.64002125000002</v>
      </c>
      <c r="L140" s="41">
        <f>SUM(L120:L139)</f>
        <v>8</v>
      </c>
      <c r="M140" s="41">
        <f>IFERROR(S140/P140,0)</f>
        <v>791.30247733896283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8</v>
      </c>
      <c r="Q140" s="41">
        <f t="shared" si="151"/>
        <v>0</v>
      </c>
      <c r="R140" s="41">
        <f t="shared" si="151"/>
        <v>0</v>
      </c>
      <c r="S140" s="45">
        <f t="shared" si="151"/>
        <v>6330.4198187117026</v>
      </c>
      <c r="T140" s="41">
        <f t="shared" si="151"/>
        <v>8</v>
      </c>
      <c r="U140" s="41">
        <f>IFERROR(AA140/X140,0)</f>
        <v>855.21010401580781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8</v>
      </c>
      <c r="Y140" s="41">
        <f t="shared" si="152"/>
        <v>0</v>
      </c>
      <c r="Z140" s="41">
        <f t="shared" si="152"/>
        <v>0</v>
      </c>
      <c r="AA140" s="45">
        <f t="shared" si="152"/>
        <v>6841.6808321264625</v>
      </c>
      <c r="AB140" s="41">
        <f t="shared" si="152"/>
        <v>8</v>
      </c>
      <c r="AC140" s="41">
        <f>IFERROR(AI140/AF140,0)</f>
        <v>923.430660125234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8</v>
      </c>
      <c r="AG140" s="41">
        <f t="shared" si="153"/>
        <v>0</v>
      </c>
      <c r="AH140" s="41">
        <f t="shared" si="153"/>
        <v>0</v>
      </c>
      <c r="AI140" s="45">
        <f t="shared" si="153"/>
        <v>7387.445281001872</v>
      </c>
      <c r="AJ140" s="41">
        <f t="shared" si="153"/>
        <v>8</v>
      </c>
      <c r="AK140" s="41">
        <f>IFERROR(AQ140/AN140,0)</f>
        <v>995.24019660650686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8</v>
      </c>
      <c r="AO140" s="41">
        <f t="shared" si="154"/>
        <v>0</v>
      </c>
      <c r="AP140" s="41">
        <f t="shared" si="154"/>
        <v>0</v>
      </c>
      <c r="AQ140" s="45">
        <f t="shared" si="154"/>
        <v>7961.9215728520549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47845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53305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60072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64637.472000000002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41514.5801812883</v>
      </c>
      <c r="T142" s="39"/>
      <c r="U142" s="39"/>
      <c r="V142" s="53"/>
      <c r="W142" s="53"/>
      <c r="X142" s="110"/>
      <c r="Y142" s="39"/>
      <c r="Z142" s="39"/>
      <c r="AA142" s="54">
        <f>AA141-AA140</f>
        <v>46463.319167873538</v>
      </c>
      <c r="AB142" s="39"/>
      <c r="AC142" s="53"/>
      <c r="AD142" s="53"/>
      <c r="AE142" s="110"/>
      <c r="AF142" s="39"/>
      <c r="AG142" s="39"/>
      <c r="AH142" s="39"/>
      <c r="AI142" s="54">
        <f>AI141-AI140</f>
        <v>52684.55471899813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56675.550427147944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Institutional Performance Monitoring &amp; Capacity Development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10</v>
      </c>
      <c r="G148" s="35">
        <f>SUMIFS(WORKING!$AC$3:$AC$6802,WORKING!$A$3:$A$6802,Results!$D$3,WORKING!$B$3:$B$6802,Results!A148,WORKING!$C$3:$C$6802,Results!C148)/1000</f>
        <v>424.28201000000001</v>
      </c>
      <c r="H148" s="35">
        <f>IFERROR(G148/F148,0)</f>
        <v>42.428201000000001</v>
      </c>
      <c r="I148" s="156" t="s">
        <v>754</v>
      </c>
      <c r="J148" s="211" t="s">
        <v>754</v>
      </c>
      <c r="K148" s="217">
        <f>IFERROR(IF(J148="",G148,J148)/IF(I148="",F148,I148),"")</f>
        <v>42.428201000000001</v>
      </c>
      <c r="L148" s="34">
        <f t="shared" ref="L148:L167" si="155">IF(I148="",F148,I148)</f>
        <v>10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46.33752603052001</v>
      </c>
      <c r="N148" s="57">
        <v>0</v>
      </c>
      <c r="O148" s="57">
        <v>0</v>
      </c>
      <c r="P148" s="61">
        <f t="shared" ref="P148:P167" si="156">-O148+L148+N148</f>
        <v>10</v>
      </c>
      <c r="Q148" s="40">
        <f>M148*N148</f>
        <v>0</v>
      </c>
      <c r="R148" s="40">
        <f>-M148*O148</f>
        <v>0</v>
      </c>
      <c r="S148" s="44">
        <f>M148*P148</f>
        <v>463.37526030520007</v>
      </c>
      <c r="T148" s="35">
        <f>P148</f>
        <v>10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50.324859926130536</v>
      </c>
      <c r="V148" s="57">
        <v>0</v>
      </c>
      <c r="W148" s="57">
        <v>0</v>
      </c>
      <c r="X148" s="61">
        <f t="shared" ref="X148:X167" si="157">-W148+T148+V148</f>
        <v>10</v>
      </c>
      <c r="Y148" s="40">
        <f>U148*V148</f>
        <v>0</v>
      </c>
      <c r="Z148" s="40">
        <f>-U148*W148</f>
        <v>0</v>
      </c>
      <c r="AA148" s="44">
        <f>U148*X148</f>
        <v>503.24859926130534</v>
      </c>
      <c r="AB148" s="35">
        <f>X148</f>
        <v>10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54.604223301636054</v>
      </c>
      <c r="AD148" s="57">
        <v>0</v>
      </c>
      <c r="AE148" s="57">
        <v>0</v>
      </c>
      <c r="AF148" s="61">
        <f t="shared" ref="AF148:AF167" si="158">-AE148+AB148+AD148</f>
        <v>10</v>
      </c>
      <c r="AG148" s="40">
        <f>AC148*AD148</f>
        <v>0</v>
      </c>
      <c r="AH148" s="40">
        <f>-AC148*AE148</f>
        <v>0</v>
      </c>
      <c r="AI148" s="44">
        <f>AC148*AF148</f>
        <v>546.04223301636057</v>
      </c>
      <c r="AJ148" s="35">
        <f t="shared" ref="AJ148:AJ167" si="159">AF148</f>
        <v>10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59.136634848092385</v>
      </c>
      <c r="AL148" s="57">
        <v>0</v>
      </c>
      <c r="AM148" s="57">
        <v>0</v>
      </c>
      <c r="AN148" s="61">
        <f t="shared" ref="AN148:AN167" si="160">-AM148+AJ148+AL148</f>
        <v>10</v>
      </c>
      <c r="AO148" s="40">
        <f>AK148*AL148</f>
        <v>0</v>
      </c>
      <c r="AP148" s="40">
        <f>-AK148*AM148</f>
        <v>0</v>
      </c>
      <c r="AQ148" s="44">
        <f>AK148*AN148</f>
        <v>591.36634848092388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</v>
      </c>
      <c r="G153" s="35">
        <f>SUMIFS(WORKING!$AC$3:$AC$6802,WORKING!$A$3:$A$6802,Results!$D$3,WORKING!$B$3:$B$6802,Results!A153,WORKING!$C$3:$C$6802,Results!C153)/1000</f>
        <v>218.91784999999999</v>
      </c>
      <c r="H153" s="35">
        <f t="shared" si="161"/>
        <v>218.91784999999999</v>
      </c>
      <c r="I153" s="187" t="s">
        <v>754</v>
      </c>
      <c r="J153" s="212" t="s">
        <v>754</v>
      </c>
      <c r="K153" s="217">
        <f t="shared" si="162"/>
        <v>218.91784999999999</v>
      </c>
      <c r="L153" s="34">
        <f t="shared" si="155"/>
        <v>1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237.81866684242928</v>
      </c>
      <c r="N153" s="57">
        <v>0</v>
      </c>
      <c r="O153" s="57">
        <v>0</v>
      </c>
      <c r="P153" s="61">
        <f t="shared" si="156"/>
        <v>1</v>
      </c>
      <c r="Q153" s="40">
        <f t="shared" si="163"/>
        <v>0</v>
      </c>
      <c r="R153" s="40">
        <f t="shared" si="164"/>
        <v>0</v>
      </c>
      <c r="S153" s="44">
        <f t="shared" si="165"/>
        <v>237.81866684242928</v>
      </c>
      <c r="T153" s="35">
        <f t="shared" si="166"/>
        <v>1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257.89241340344353</v>
      </c>
      <c r="V153" s="57">
        <v>0</v>
      </c>
      <c r="W153" s="57">
        <v>0</v>
      </c>
      <c r="X153" s="61">
        <f t="shared" si="157"/>
        <v>1</v>
      </c>
      <c r="Y153" s="40">
        <f t="shared" si="167"/>
        <v>0</v>
      </c>
      <c r="Z153" s="40">
        <f t="shared" si="168"/>
        <v>0</v>
      </c>
      <c r="AA153" s="44">
        <f t="shared" si="169"/>
        <v>257.89241340344353</v>
      </c>
      <c r="AB153" s="35">
        <f t="shared" si="170"/>
        <v>1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279.3991211900327</v>
      </c>
      <c r="AD153" s="57">
        <v>0</v>
      </c>
      <c r="AE153" s="57">
        <v>0</v>
      </c>
      <c r="AF153" s="61">
        <f t="shared" si="158"/>
        <v>1</v>
      </c>
      <c r="AG153" s="40">
        <f t="shared" si="171"/>
        <v>0</v>
      </c>
      <c r="AH153" s="40">
        <f t="shared" si="172"/>
        <v>0</v>
      </c>
      <c r="AI153" s="44">
        <f t="shared" si="173"/>
        <v>279.3991211900327</v>
      </c>
      <c r="AJ153" s="35">
        <f t="shared" si="159"/>
        <v>1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302.13292158304756</v>
      </c>
      <c r="AL153" s="57">
        <v>0</v>
      </c>
      <c r="AM153" s="57">
        <v>0</v>
      </c>
      <c r="AN153" s="61">
        <f t="shared" si="160"/>
        <v>1</v>
      </c>
      <c r="AO153" s="40">
        <f t="shared" si="174"/>
        <v>0</v>
      </c>
      <c r="AP153" s="40">
        <f t="shared" si="175"/>
        <v>0</v>
      </c>
      <c r="AQ153" s="44">
        <f t="shared" si="176"/>
        <v>302.13292158304756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7</v>
      </c>
      <c r="G154" s="35">
        <f>SUMIFS(WORKING!$AC$3:$AC$6802,WORKING!$A$3:$A$6802,Results!$D$3,WORKING!$B$3:$B$6802,Results!A154,WORKING!$C$3:$C$6802,Results!C154)/1000</f>
        <v>1912.3403299999993</v>
      </c>
      <c r="H154" s="35">
        <f t="shared" si="161"/>
        <v>273.19147571428562</v>
      </c>
      <c r="I154" s="187" t="s">
        <v>754</v>
      </c>
      <c r="J154" s="212" t="s">
        <v>754</v>
      </c>
      <c r="K154" s="217">
        <f t="shared" si="162"/>
        <v>273.19147571428562</v>
      </c>
      <c r="L154" s="34">
        <f t="shared" si="155"/>
        <v>7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297.3894488557666</v>
      </c>
      <c r="N154" s="57">
        <v>0</v>
      </c>
      <c r="O154" s="57">
        <v>0</v>
      </c>
      <c r="P154" s="61">
        <f t="shared" si="156"/>
        <v>7</v>
      </c>
      <c r="Q154" s="40">
        <f t="shared" si="163"/>
        <v>0</v>
      </c>
      <c r="R154" s="40">
        <f t="shared" si="164"/>
        <v>0</v>
      </c>
      <c r="S154" s="44">
        <f t="shared" si="165"/>
        <v>2081.7261419903662</v>
      </c>
      <c r="T154" s="35">
        <f t="shared" si="166"/>
        <v>7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322.67662986273899</v>
      </c>
      <c r="V154" s="57">
        <v>0</v>
      </c>
      <c r="W154" s="57">
        <v>0</v>
      </c>
      <c r="X154" s="61">
        <f t="shared" si="157"/>
        <v>7</v>
      </c>
      <c r="Y154" s="40">
        <f t="shared" si="167"/>
        <v>0</v>
      </c>
      <c r="Z154" s="40">
        <f t="shared" si="168"/>
        <v>0</v>
      </c>
      <c r="AA154" s="44">
        <f t="shared" si="169"/>
        <v>2258.7364090391729</v>
      </c>
      <c r="AB154" s="35">
        <f t="shared" si="170"/>
        <v>7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349.78689680466181</v>
      </c>
      <c r="AD154" s="57">
        <v>0</v>
      </c>
      <c r="AE154" s="57">
        <v>0</v>
      </c>
      <c r="AF154" s="61">
        <f t="shared" si="158"/>
        <v>7</v>
      </c>
      <c r="AG154" s="40">
        <f t="shared" si="171"/>
        <v>0</v>
      </c>
      <c r="AH154" s="40">
        <f t="shared" si="172"/>
        <v>0</v>
      </c>
      <c r="AI154" s="44">
        <f t="shared" si="173"/>
        <v>2448.5082776326326</v>
      </c>
      <c r="AJ154" s="35">
        <f t="shared" si="159"/>
        <v>7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378.46572649834656</v>
      </c>
      <c r="AL154" s="57">
        <v>0</v>
      </c>
      <c r="AM154" s="57">
        <v>0</v>
      </c>
      <c r="AN154" s="61">
        <f t="shared" si="160"/>
        <v>7</v>
      </c>
      <c r="AO154" s="40">
        <f t="shared" si="174"/>
        <v>0</v>
      </c>
      <c r="AP154" s="40">
        <f t="shared" si="175"/>
        <v>0</v>
      </c>
      <c r="AQ154" s="44">
        <f t="shared" si="176"/>
        <v>2649.2600854884258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</v>
      </c>
      <c r="G155" s="35">
        <f>SUMIFS(WORKING!$AC$3:$AC$6802,WORKING!$A$3:$A$6802,Results!$D$3,WORKING!$B$3:$B$6802,Results!A155,WORKING!$C$3:$C$6802,Results!C155)/1000</f>
        <v>1044.5527999999999</v>
      </c>
      <c r="H155" s="35">
        <f t="shared" si="161"/>
        <v>348.18426666666664</v>
      </c>
      <c r="I155" s="187" t="s">
        <v>754</v>
      </c>
      <c r="J155" s="212" t="s">
        <v>754</v>
      </c>
      <c r="K155" s="217">
        <f t="shared" si="162"/>
        <v>348.18426666666664</v>
      </c>
      <c r="L155" s="34">
        <f t="shared" si="155"/>
        <v>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379.40877440706919</v>
      </c>
      <c r="N155" s="57">
        <v>0</v>
      </c>
      <c r="O155" s="57">
        <v>0</v>
      </c>
      <c r="P155" s="61">
        <f t="shared" si="156"/>
        <v>3</v>
      </c>
      <c r="Q155" s="40">
        <f t="shared" si="163"/>
        <v>0</v>
      </c>
      <c r="R155" s="40">
        <f t="shared" si="164"/>
        <v>0</v>
      </c>
      <c r="S155" s="44">
        <f t="shared" si="165"/>
        <v>1138.2263232212076</v>
      </c>
      <c r="T155" s="35">
        <f t="shared" si="166"/>
        <v>3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411.79075053097102</v>
      </c>
      <c r="V155" s="57">
        <v>0</v>
      </c>
      <c r="W155" s="57">
        <v>0</v>
      </c>
      <c r="X155" s="61">
        <f t="shared" si="157"/>
        <v>3</v>
      </c>
      <c r="Y155" s="40">
        <f t="shared" si="167"/>
        <v>0</v>
      </c>
      <c r="Z155" s="40">
        <f t="shared" si="168"/>
        <v>0</v>
      </c>
      <c r="AA155" s="44">
        <f t="shared" si="169"/>
        <v>1235.372251592913</v>
      </c>
      <c r="AB155" s="35">
        <f t="shared" si="170"/>
        <v>3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446.51882907923903</v>
      </c>
      <c r="AD155" s="57">
        <v>0</v>
      </c>
      <c r="AE155" s="57">
        <v>0</v>
      </c>
      <c r="AF155" s="61">
        <f t="shared" si="158"/>
        <v>3</v>
      </c>
      <c r="AG155" s="40">
        <f t="shared" si="171"/>
        <v>0</v>
      </c>
      <c r="AH155" s="40">
        <f t="shared" si="172"/>
        <v>0</v>
      </c>
      <c r="AI155" s="44">
        <f t="shared" si="173"/>
        <v>1339.5564872377172</v>
      </c>
      <c r="AJ155" s="35">
        <f t="shared" si="159"/>
        <v>3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483.26992826014589</v>
      </c>
      <c r="AL155" s="57">
        <v>0</v>
      </c>
      <c r="AM155" s="57">
        <v>0</v>
      </c>
      <c r="AN155" s="61">
        <f t="shared" si="160"/>
        <v>3</v>
      </c>
      <c r="AO155" s="40">
        <f t="shared" si="174"/>
        <v>0</v>
      </c>
      <c r="AP155" s="40">
        <f t="shared" si="175"/>
        <v>0</v>
      </c>
      <c r="AQ155" s="44">
        <f t="shared" si="176"/>
        <v>1449.8097847804377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2</v>
      </c>
      <c r="G156" s="35">
        <f>SUMIFS(WORKING!$AC$3:$AC$6802,WORKING!$A$3:$A$6802,Results!$D$3,WORKING!$B$3:$B$6802,Results!A156,WORKING!$C$3:$C$6802,Results!C156)/1000</f>
        <v>842.89549</v>
      </c>
      <c r="H156" s="35">
        <f t="shared" si="161"/>
        <v>421.447745</v>
      </c>
      <c r="I156" s="187" t="s">
        <v>754</v>
      </c>
      <c r="J156" s="212" t="s">
        <v>754</v>
      </c>
      <c r="K156" s="217">
        <f t="shared" si="162"/>
        <v>421.447745</v>
      </c>
      <c r="L156" s="34">
        <f t="shared" si="155"/>
        <v>2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459.63762543773925</v>
      </c>
      <c r="N156" s="57">
        <v>0</v>
      </c>
      <c r="O156" s="57">
        <v>0</v>
      </c>
      <c r="P156" s="61">
        <f t="shared" si="156"/>
        <v>2</v>
      </c>
      <c r="Q156" s="40">
        <f t="shared" si="163"/>
        <v>0</v>
      </c>
      <c r="R156" s="40">
        <f t="shared" si="164"/>
        <v>0</v>
      </c>
      <c r="S156" s="44">
        <f t="shared" si="165"/>
        <v>919.27525087547849</v>
      </c>
      <c r="T156" s="35">
        <f t="shared" si="166"/>
        <v>2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498.98985704246218</v>
      </c>
      <c r="V156" s="57">
        <v>0</v>
      </c>
      <c r="W156" s="57">
        <v>0</v>
      </c>
      <c r="X156" s="61">
        <f t="shared" si="157"/>
        <v>2</v>
      </c>
      <c r="Y156" s="40">
        <f t="shared" si="167"/>
        <v>0</v>
      </c>
      <c r="Z156" s="40">
        <f t="shared" si="168"/>
        <v>0</v>
      </c>
      <c r="AA156" s="44">
        <f t="shared" si="169"/>
        <v>997.97971408492435</v>
      </c>
      <c r="AB156" s="35">
        <f t="shared" si="170"/>
        <v>2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541.20501492863878</v>
      </c>
      <c r="AD156" s="57">
        <v>0</v>
      </c>
      <c r="AE156" s="57">
        <v>0</v>
      </c>
      <c r="AF156" s="61">
        <f t="shared" si="158"/>
        <v>2</v>
      </c>
      <c r="AG156" s="40">
        <f t="shared" si="171"/>
        <v>0</v>
      </c>
      <c r="AH156" s="40">
        <f t="shared" si="172"/>
        <v>0</v>
      </c>
      <c r="AI156" s="44">
        <f t="shared" si="173"/>
        <v>1082.4100298572776</v>
      </c>
      <c r="AJ156" s="35">
        <f t="shared" si="159"/>
        <v>2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585.89347822564628</v>
      </c>
      <c r="AL156" s="57">
        <v>0</v>
      </c>
      <c r="AM156" s="57">
        <v>0</v>
      </c>
      <c r="AN156" s="61">
        <f t="shared" si="160"/>
        <v>2</v>
      </c>
      <c r="AO156" s="40">
        <f t="shared" si="174"/>
        <v>0</v>
      </c>
      <c r="AP156" s="40">
        <f t="shared" si="175"/>
        <v>0</v>
      </c>
      <c r="AQ156" s="44">
        <f t="shared" si="176"/>
        <v>1171.7869564512926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17</v>
      </c>
      <c r="G157" s="35">
        <f>SUMIFS(WORKING!$AC$3:$AC$6802,WORKING!$A$3:$A$6802,Results!$D$3,WORKING!$B$3:$B$6802,Results!A157,WORKING!$C$3:$C$6802,Results!C157)/1000</f>
        <v>8206.9364299999997</v>
      </c>
      <c r="H157" s="35">
        <f t="shared" si="161"/>
        <v>482.76096647058824</v>
      </c>
      <c r="I157" s="187" t="s">
        <v>754</v>
      </c>
      <c r="J157" s="212" t="s">
        <v>754</v>
      </c>
      <c r="K157" s="217">
        <f t="shared" si="162"/>
        <v>482.76096647058824</v>
      </c>
      <c r="L157" s="34">
        <f t="shared" si="155"/>
        <v>17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525.99731698147309</v>
      </c>
      <c r="N157" s="57">
        <v>0</v>
      </c>
      <c r="O157" s="57">
        <v>0</v>
      </c>
      <c r="P157" s="61">
        <f t="shared" si="156"/>
        <v>17</v>
      </c>
      <c r="Q157" s="40">
        <f t="shared" si="163"/>
        <v>0</v>
      </c>
      <c r="R157" s="40">
        <f t="shared" si="164"/>
        <v>0</v>
      </c>
      <c r="S157" s="44">
        <f t="shared" si="165"/>
        <v>8941.9543886850424</v>
      </c>
      <c r="T157" s="35">
        <f t="shared" si="166"/>
        <v>17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570.87235669843244</v>
      </c>
      <c r="V157" s="57">
        <v>0</v>
      </c>
      <c r="W157" s="57">
        <v>0</v>
      </c>
      <c r="X157" s="61">
        <f t="shared" si="157"/>
        <v>17</v>
      </c>
      <c r="Y157" s="40">
        <f t="shared" si="167"/>
        <v>0</v>
      </c>
      <c r="Z157" s="40">
        <f t="shared" si="168"/>
        <v>0</v>
      </c>
      <c r="AA157" s="44">
        <f t="shared" si="169"/>
        <v>9704.8300638733508</v>
      </c>
      <c r="AB157" s="35">
        <f t="shared" si="170"/>
        <v>17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618.99694706693685</v>
      </c>
      <c r="AD157" s="57">
        <v>0</v>
      </c>
      <c r="AE157" s="57">
        <v>0</v>
      </c>
      <c r="AF157" s="61">
        <f t="shared" si="158"/>
        <v>17</v>
      </c>
      <c r="AG157" s="40">
        <f t="shared" si="171"/>
        <v>0</v>
      </c>
      <c r="AH157" s="40">
        <f t="shared" si="172"/>
        <v>0</v>
      </c>
      <c r="AI157" s="44">
        <f t="shared" si="173"/>
        <v>10522.948100137926</v>
      </c>
      <c r="AJ157" s="35">
        <f t="shared" si="159"/>
        <v>17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669.92298258871756</v>
      </c>
      <c r="AL157" s="57">
        <v>0</v>
      </c>
      <c r="AM157" s="57">
        <v>0</v>
      </c>
      <c r="AN157" s="61">
        <f t="shared" si="160"/>
        <v>17</v>
      </c>
      <c r="AO157" s="40">
        <f t="shared" si="174"/>
        <v>0</v>
      </c>
      <c r="AP157" s="40">
        <f t="shared" si="175"/>
        <v>0</v>
      </c>
      <c r="AQ157" s="44">
        <f t="shared" si="176"/>
        <v>11388.690704008199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2</v>
      </c>
      <c r="G158" s="35">
        <f>SUMIFS(WORKING!$AC$3:$AC$6802,WORKING!$A$3:$A$6802,Results!$D$3,WORKING!$B$3:$B$6802,Results!A158,WORKING!$C$3:$C$6802,Results!C158)/1000</f>
        <v>804.59439000000009</v>
      </c>
      <c r="H158" s="35">
        <f t="shared" si="161"/>
        <v>402.29719500000004</v>
      </c>
      <c r="I158" s="187" t="s">
        <v>754</v>
      </c>
      <c r="J158" s="212" t="s">
        <v>754</v>
      </c>
      <c r="K158" s="217">
        <f t="shared" si="162"/>
        <v>402.29719500000004</v>
      </c>
      <c r="L158" s="34">
        <f t="shared" si="155"/>
        <v>2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439.20114156960011</v>
      </c>
      <c r="N158" s="57">
        <v>0</v>
      </c>
      <c r="O158" s="57">
        <v>0</v>
      </c>
      <c r="P158" s="61">
        <f t="shared" si="156"/>
        <v>2</v>
      </c>
      <c r="Q158" s="40">
        <f t="shared" si="163"/>
        <v>0</v>
      </c>
      <c r="R158" s="40">
        <f t="shared" si="164"/>
        <v>0</v>
      </c>
      <c r="S158" s="44">
        <f t="shared" si="165"/>
        <v>878.40228313920022</v>
      </c>
      <c r="T158" s="35">
        <f t="shared" si="166"/>
        <v>2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476.81666123200819</v>
      </c>
      <c r="V158" s="57">
        <v>0</v>
      </c>
      <c r="W158" s="57">
        <v>0</v>
      </c>
      <c r="X158" s="61">
        <f t="shared" si="157"/>
        <v>2</v>
      </c>
      <c r="Y158" s="40">
        <f t="shared" si="167"/>
        <v>0</v>
      </c>
      <c r="Z158" s="40">
        <f t="shared" si="168"/>
        <v>0</v>
      </c>
      <c r="AA158" s="44">
        <f t="shared" si="169"/>
        <v>953.63332246401637</v>
      </c>
      <c r="AB158" s="35">
        <f t="shared" si="170"/>
        <v>2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517.1699853120399</v>
      </c>
      <c r="AD158" s="57">
        <v>0</v>
      </c>
      <c r="AE158" s="57">
        <v>0</v>
      </c>
      <c r="AF158" s="61">
        <f t="shared" si="158"/>
        <v>2</v>
      </c>
      <c r="AG158" s="40">
        <f t="shared" si="171"/>
        <v>0</v>
      </c>
      <c r="AH158" s="40">
        <f t="shared" si="172"/>
        <v>0</v>
      </c>
      <c r="AI158" s="44">
        <f t="shared" si="173"/>
        <v>1034.3399706240798</v>
      </c>
      <c r="AJ158" s="35">
        <f t="shared" si="159"/>
        <v>2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559.88897526930532</v>
      </c>
      <c r="AL158" s="57">
        <v>0</v>
      </c>
      <c r="AM158" s="57">
        <v>0</v>
      </c>
      <c r="AN158" s="61">
        <f t="shared" si="160"/>
        <v>2</v>
      </c>
      <c r="AO158" s="40">
        <f t="shared" si="174"/>
        <v>0</v>
      </c>
      <c r="AP158" s="40">
        <f t="shared" si="175"/>
        <v>0</v>
      </c>
      <c r="AQ158" s="44">
        <f t="shared" si="176"/>
        <v>1119.7779505386106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22</v>
      </c>
      <c r="G159" s="35">
        <f>SUMIFS(WORKING!$AC$3:$AC$6802,WORKING!$A$3:$A$6802,Results!$D$3,WORKING!$B$3:$B$6802,Results!A159,WORKING!$C$3:$C$6802,Results!C159)/1000</f>
        <v>16397.148030000004</v>
      </c>
      <c r="H159" s="35">
        <f t="shared" si="161"/>
        <v>745.3249104545456</v>
      </c>
      <c r="I159" s="187" t="s">
        <v>754</v>
      </c>
      <c r="J159" s="212" t="s">
        <v>754</v>
      </c>
      <c r="K159" s="217">
        <f t="shared" si="162"/>
        <v>745.3249104545456</v>
      </c>
      <c r="L159" s="34">
        <f t="shared" si="155"/>
        <v>22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813.80242194643665</v>
      </c>
      <c r="N159" s="57">
        <v>0</v>
      </c>
      <c r="O159" s="57">
        <v>0</v>
      </c>
      <c r="P159" s="61">
        <f t="shared" si="156"/>
        <v>22</v>
      </c>
      <c r="Q159" s="40">
        <f t="shared" si="163"/>
        <v>0</v>
      </c>
      <c r="R159" s="40">
        <f t="shared" si="164"/>
        <v>0</v>
      </c>
      <c r="S159" s="44">
        <f t="shared" si="165"/>
        <v>17903.653282821608</v>
      </c>
      <c r="T159" s="35">
        <f t="shared" si="166"/>
        <v>22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883.61651798160551</v>
      </c>
      <c r="V159" s="57">
        <v>0</v>
      </c>
      <c r="W159" s="57">
        <v>0</v>
      </c>
      <c r="X159" s="61">
        <f t="shared" si="157"/>
        <v>22</v>
      </c>
      <c r="Y159" s="40">
        <f t="shared" si="167"/>
        <v>0</v>
      </c>
      <c r="Z159" s="40">
        <f t="shared" si="168"/>
        <v>0</v>
      </c>
      <c r="AA159" s="44">
        <f t="shared" si="169"/>
        <v>19439.56339559532</v>
      </c>
      <c r="AB159" s="35">
        <f t="shared" si="170"/>
        <v>22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958.5231385498098</v>
      </c>
      <c r="AD159" s="57">
        <v>0</v>
      </c>
      <c r="AE159" s="57">
        <v>0</v>
      </c>
      <c r="AF159" s="61">
        <f t="shared" si="158"/>
        <v>22</v>
      </c>
      <c r="AG159" s="40">
        <f t="shared" si="171"/>
        <v>0</v>
      </c>
      <c r="AH159" s="40">
        <f t="shared" si="172"/>
        <v>0</v>
      </c>
      <c r="AI159" s="44">
        <f t="shared" si="173"/>
        <v>21087.509048095817</v>
      </c>
      <c r="AJ159" s="35">
        <f t="shared" si="159"/>
        <v>22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1037.8344691824968</v>
      </c>
      <c r="AL159" s="57">
        <v>0</v>
      </c>
      <c r="AM159" s="57">
        <v>0</v>
      </c>
      <c r="AN159" s="61">
        <f t="shared" si="160"/>
        <v>22</v>
      </c>
      <c r="AO159" s="40">
        <f t="shared" si="174"/>
        <v>0</v>
      </c>
      <c r="AP159" s="40">
        <f t="shared" si="175"/>
        <v>0</v>
      </c>
      <c r="AQ159" s="44">
        <f t="shared" si="176"/>
        <v>22832.35832201493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17</v>
      </c>
      <c r="G160" s="35">
        <f>SUMIFS(WORKING!$AC$3:$AC$6802,WORKING!$A$3:$A$6802,Results!$D$3,WORKING!$B$3:$B$6802,Results!A160,WORKING!$C$3:$C$6802,Results!C160)/1000</f>
        <v>16482.263979999996</v>
      </c>
      <c r="H160" s="35">
        <f t="shared" si="161"/>
        <v>969.54493999999977</v>
      </c>
      <c r="I160" s="187" t="s">
        <v>754</v>
      </c>
      <c r="J160" s="212" t="s">
        <v>754</v>
      </c>
      <c r="K160" s="217">
        <f t="shared" si="162"/>
        <v>969.54493999999977</v>
      </c>
      <c r="L160" s="34">
        <f t="shared" si="155"/>
        <v>17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1016.1207720610909</v>
      </c>
      <c r="N160" s="57">
        <v>0</v>
      </c>
      <c r="O160" s="57">
        <v>0</v>
      </c>
      <c r="P160" s="61">
        <f t="shared" si="156"/>
        <v>17</v>
      </c>
      <c r="Q160" s="40">
        <f t="shared" si="163"/>
        <v>0</v>
      </c>
      <c r="R160" s="40">
        <f t="shared" si="164"/>
        <v>0</v>
      </c>
      <c r="S160" s="44">
        <f t="shared" si="165"/>
        <v>17274.053125038543</v>
      </c>
      <c r="T160" s="35">
        <f t="shared" si="166"/>
        <v>17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1092.7687290973961</v>
      </c>
      <c r="V160" s="57">
        <v>0</v>
      </c>
      <c r="W160" s="57">
        <v>0</v>
      </c>
      <c r="X160" s="61">
        <f t="shared" si="157"/>
        <v>17</v>
      </c>
      <c r="Y160" s="40">
        <f t="shared" si="167"/>
        <v>0</v>
      </c>
      <c r="Z160" s="40">
        <f t="shared" si="168"/>
        <v>0</v>
      </c>
      <c r="AA160" s="44">
        <f t="shared" si="169"/>
        <v>18577.068394655733</v>
      </c>
      <c r="AB160" s="35">
        <f t="shared" si="170"/>
        <v>17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1174.0897121962923</v>
      </c>
      <c r="AD160" s="57">
        <v>0</v>
      </c>
      <c r="AE160" s="57">
        <v>0</v>
      </c>
      <c r="AF160" s="61">
        <f t="shared" si="158"/>
        <v>17</v>
      </c>
      <c r="AG160" s="40">
        <f t="shared" si="171"/>
        <v>0</v>
      </c>
      <c r="AH160" s="40">
        <f t="shared" si="172"/>
        <v>0</v>
      </c>
      <c r="AI160" s="44">
        <f t="shared" si="173"/>
        <v>19959.525107336969</v>
      </c>
      <c r="AJ160" s="35">
        <f t="shared" si="159"/>
        <v>17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1259.0800243674105</v>
      </c>
      <c r="AL160" s="57">
        <v>0</v>
      </c>
      <c r="AM160" s="57">
        <v>0</v>
      </c>
      <c r="AN160" s="61">
        <f t="shared" si="160"/>
        <v>17</v>
      </c>
      <c r="AO160" s="40">
        <f t="shared" si="174"/>
        <v>0</v>
      </c>
      <c r="AP160" s="40">
        <f t="shared" si="175"/>
        <v>0</v>
      </c>
      <c r="AQ160" s="44">
        <f t="shared" si="176"/>
        <v>21404.360414245977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5</v>
      </c>
      <c r="G161" s="35">
        <f>SUMIFS(WORKING!$AC$3:$AC$6802,WORKING!$A$3:$A$6802,Results!$D$3,WORKING!$B$3:$B$6802,Results!A161,WORKING!$C$3:$C$6802,Results!C161)/1000</f>
        <v>6611.1539199999997</v>
      </c>
      <c r="H161" s="35">
        <f t="shared" si="161"/>
        <v>1322.2307839999999</v>
      </c>
      <c r="I161" s="187" t="s">
        <v>754</v>
      </c>
      <c r="J161" s="212" t="s">
        <v>754</v>
      </c>
      <c r="K161" s="217">
        <f t="shared" si="162"/>
        <v>1322.2307839999999</v>
      </c>
      <c r="L161" s="34">
        <f t="shared" si="155"/>
        <v>5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1385.7690030753495</v>
      </c>
      <c r="N161" s="57">
        <v>0</v>
      </c>
      <c r="O161" s="57">
        <v>0</v>
      </c>
      <c r="P161" s="61">
        <f t="shared" si="156"/>
        <v>5</v>
      </c>
      <c r="Q161" s="40">
        <f t="shared" si="163"/>
        <v>0</v>
      </c>
      <c r="R161" s="40">
        <f t="shared" si="164"/>
        <v>0</v>
      </c>
      <c r="S161" s="44">
        <f t="shared" si="165"/>
        <v>6928.8450153767471</v>
      </c>
      <c r="T161" s="35">
        <f t="shared" si="166"/>
        <v>5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1490.3214944823781</v>
      </c>
      <c r="V161" s="57">
        <v>0</v>
      </c>
      <c r="W161" s="57">
        <v>0</v>
      </c>
      <c r="X161" s="61">
        <f t="shared" si="157"/>
        <v>5</v>
      </c>
      <c r="Y161" s="40">
        <f t="shared" si="167"/>
        <v>0</v>
      </c>
      <c r="Z161" s="40">
        <f t="shared" si="168"/>
        <v>0</v>
      </c>
      <c r="AA161" s="44">
        <f t="shared" si="169"/>
        <v>7451.6074724118898</v>
      </c>
      <c r="AB161" s="35">
        <f t="shared" si="170"/>
        <v>5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1601.2501463865201</v>
      </c>
      <c r="AD161" s="57">
        <v>0</v>
      </c>
      <c r="AE161" s="57">
        <v>0</v>
      </c>
      <c r="AF161" s="61">
        <f t="shared" si="158"/>
        <v>5</v>
      </c>
      <c r="AG161" s="40">
        <f t="shared" si="171"/>
        <v>0</v>
      </c>
      <c r="AH161" s="40">
        <f t="shared" si="172"/>
        <v>0</v>
      </c>
      <c r="AI161" s="44">
        <f t="shared" si="173"/>
        <v>8006.2507319326005</v>
      </c>
      <c r="AJ161" s="35">
        <f t="shared" si="159"/>
        <v>5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1717.1863472954908</v>
      </c>
      <c r="AL161" s="57">
        <v>0</v>
      </c>
      <c r="AM161" s="57">
        <v>0</v>
      </c>
      <c r="AN161" s="61">
        <f t="shared" si="160"/>
        <v>5</v>
      </c>
      <c r="AO161" s="40">
        <f t="shared" si="174"/>
        <v>0</v>
      </c>
      <c r="AP161" s="40">
        <f t="shared" si="175"/>
        <v>0</v>
      </c>
      <c r="AQ161" s="44">
        <f t="shared" si="176"/>
        <v>8585.9317364774543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4</v>
      </c>
      <c r="G162" s="35">
        <f>SUMIFS(WORKING!$AC$3:$AC$6802,WORKING!$A$3:$A$6802,Results!$D$3,WORKING!$B$3:$B$6802,Results!A162,WORKING!$C$3:$C$6802,Results!C162)/1000</f>
        <v>3233.0699600000003</v>
      </c>
      <c r="H162" s="35">
        <f t="shared" si="161"/>
        <v>808.26749000000007</v>
      </c>
      <c r="I162" s="187" t="s">
        <v>754</v>
      </c>
      <c r="J162" s="212" t="s">
        <v>754</v>
      </c>
      <c r="K162" s="217">
        <f t="shared" si="162"/>
        <v>808.26749000000007</v>
      </c>
      <c r="L162" s="34">
        <f t="shared" si="155"/>
        <v>4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847.41704956763749</v>
      </c>
      <c r="N162" s="57">
        <v>0</v>
      </c>
      <c r="O162" s="57">
        <v>0</v>
      </c>
      <c r="P162" s="61">
        <f t="shared" si="156"/>
        <v>4</v>
      </c>
      <c r="Q162" s="40">
        <f t="shared" si="163"/>
        <v>0</v>
      </c>
      <c r="R162" s="40">
        <f t="shared" si="164"/>
        <v>0</v>
      </c>
      <c r="S162" s="44">
        <f t="shared" si="165"/>
        <v>3389.66819827055</v>
      </c>
      <c r="T162" s="35">
        <f t="shared" si="166"/>
        <v>4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911.68503855684412</v>
      </c>
      <c r="V162" s="57">
        <v>0</v>
      </c>
      <c r="W162" s="57">
        <v>0</v>
      </c>
      <c r="X162" s="61">
        <f t="shared" si="157"/>
        <v>4</v>
      </c>
      <c r="Y162" s="40">
        <f t="shared" si="167"/>
        <v>0</v>
      </c>
      <c r="Z162" s="40">
        <f t="shared" si="168"/>
        <v>0</v>
      </c>
      <c r="AA162" s="44">
        <f t="shared" si="169"/>
        <v>3646.7401542273765</v>
      </c>
      <c r="AB162" s="35">
        <f t="shared" si="170"/>
        <v>4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979.90179413893907</v>
      </c>
      <c r="AD162" s="57">
        <v>0</v>
      </c>
      <c r="AE162" s="57">
        <v>0</v>
      </c>
      <c r="AF162" s="61">
        <f t="shared" si="158"/>
        <v>4</v>
      </c>
      <c r="AG162" s="40">
        <f t="shared" si="171"/>
        <v>0</v>
      </c>
      <c r="AH162" s="40">
        <f t="shared" si="172"/>
        <v>0</v>
      </c>
      <c r="AI162" s="44">
        <f t="shared" si="173"/>
        <v>3919.6071765557563</v>
      </c>
      <c r="AJ162" s="35">
        <f t="shared" si="159"/>
        <v>4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1051.2337732160249</v>
      </c>
      <c r="AL162" s="57">
        <v>0</v>
      </c>
      <c r="AM162" s="57">
        <v>0</v>
      </c>
      <c r="AN162" s="61">
        <f t="shared" si="160"/>
        <v>4</v>
      </c>
      <c r="AO162" s="40">
        <f t="shared" si="174"/>
        <v>0</v>
      </c>
      <c r="AP162" s="40">
        <f t="shared" si="175"/>
        <v>0</v>
      </c>
      <c r="AQ162" s="44">
        <f t="shared" si="176"/>
        <v>4204.9350928640997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1</v>
      </c>
      <c r="G163" s="35">
        <f>SUMIFS(WORKING!$AC$3:$AC$6802,WORKING!$A$3:$A$6802,Results!$D$3,WORKING!$B$3:$B$6802,Results!A163,WORKING!$C$3:$C$6802,Results!C163)/1000</f>
        <v>1090.1102999999998</v>
      </c>
      <c r="H163" s="35">
        <f t="shared" si="161"/>
        <v>1090.1102999999998</v>
      </c>
      <c r="I163" s="187" t="s">
        <v>754</v>
      </c>
      <c r="J163" s="212" t="s">
        <v>754</v>
      </c>
      <c r="K163" s="217">
        <f t="shared" si="162"/>
        <v>1090.1102999999998</v>
      </c>
      <c r="L163" s="34">
        <f t="shared" si="155"/>
        <v>1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1142.9745666475499</v>
      </c>
      <c r="N163" s="57">
        <v>0</v>
      </c>
      <c r="O163" s="57">
        <v>0</v>
      </c>
      <c r="P163" s="61">
        <f t="shared" si="156"/>
        <v>1</v>
      </c>
      <c r="Q163" s="40">
        <f t="shared" si="163"/>
        <v>0</v>
      </c>
      <c r="R163" s="40">
        <f t="shared" si="164"/>
        <v>0</v>
      </c>
      <c r="S163" s="44">
        <f t="shared" si="165"/>
        <v>1142.9745666475499</v>
      </c>
      <c r="T163" s="35">
        <f t="shared" si="166"/>
        <v>1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1229.7256559100883</v>
      </c>
      <c r="V163" s="57">
        <v>0</v>
      </c>
      <c r="W163" s="57">
        <v>0</v>
      </c>
      <c r="X163" s="61">
        <f t="shared" si="157"/>
        <v>1</v>
      </c>
      <c r="Y163" s="40">
        <f t="shared" si="167"/>
        <v>0</v>
      </c>
      <c r="Z163" s="40">
        <f t="shared" si="168"/>
        <v>0</v>
      </c>
      <c r="AA163" s="44">
        <f t="shared" si="169"/>
        <v>1229.7256559100883</v>
      </c>
      <c r="AB163" s="35">
        <f t="shared" si="170"/>
        <v>1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1321.8129303595983</v>
      </c>
      <c r="AD163" s="57">
        <v>0</v>
      </c>
      <c r="AE163" s="57">
        <v>0</v>
      </c>
      <c r="AF163" s="61">
        <f t="shared" si="158"/>
        <v>1</v>
      </c>
      <c r="AG163" s="40">
        <f t="shared" si="171"/>
        <v>0</v>
      </c>
      <c r="AH163" s="40">
        <f t="shared" si="172"/>
        <v>0</v>
      </c>
      <c r="AI163" s="44">
        <f t="shared" si="173"/>
        <v>1321.8129303595983</v>
      </c>
      <c r="AJ163" s="35">
        <f t="shared" si="159"/>
        <v>1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1418.1128268296893</v>
      </c>
      <c r="AL163" s="57">
        <v>0</v>
      </c>
      <c r="AM163" s="57">
        <v>0</v>
      </c>
      <c r="AN163" s="61">
        <f t="shared" si="160"/>
        <v>1</v>
      </c>
      <c r="AO163" s="40">
        <f t="shared" si="174"/>
        <v>0</v>
      </c>
      <c r="AP163" s="40">
        <f t="shared" si="175"/>
        <v>0</v>
      </c>
      <c r="AQ163" s="44">
        <f t="shared" si="176"/>
        <v>1418.1128268296893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91</v>
      </c>
      <c r="G168" s="41">
        <f>SUM(G148:G167)</f>
        <v>57268.265489999998</v>
      </c>
      <c r="H168" s="41">
        <f>IFERROR(G168/F168,0)</f>
        <v>629.32159879120877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91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57268.265489999998</v>
      </c>
      <c r="K168" s="41">
        <f>IFERROR(J168/I168,"")</f>
        <v>629.32159879120877</v>
      </c>
      <c r="L168" s="41">
        <f>SUM(L148:L167)</f>
        <v>91</v>
      </c>
      <c r="M168" s="41">
        <f>IFERROR(S168/P168,0)</f>
        <v>673.62607146388928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91</v>
      </c>
      <c r="Q168" s="41">
        <f t="shared" si="177"/>
        <v>0</v>
      </c>
      <c r="R168" s="41">
        <f t="shared" si="177"/>
        <v>0</v>
      </c>
      <c r="S168" s="45">
        <f t="shared" si="177"/>
        <v>61299.972503213925</v>
      </c>
      <c r="T168" s="41">
        <f t="shared" si="177"/>
        <v>91</v>
      </c>
      <c r="U168" s="41">
        <f>IFERROR(AA168/X168,0)</f>
        <v>728.09228402768724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91</v>
      </c>
      <c r="Y168" s="41">
        <f t="shared" si="178"/>
        <v>0</v>
      </c>
      <c r="Z168" s="41">
        <f t="shared" si="178"/>
        <v>0</v>
      </c>
      <c r="AA168" s="45">
        <f t="shared" si="178"/>
        <v>66256.39784651954</v>
      </c>
      <c r="AB168" s="41">
        <f t="shared" si="178"/>
        <v>91</v>
      </c>
      <c r="AC168" s="41">
        <f>IFERROR(AI168/AF168,0)</f>
        <v>786.24076059315121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91</v>
      </c>
      <c r="AG168" s="41">
        <f t="shared" si="179"/>
        <v>0</v>
      </c>
      <c r="AH168" s="41">
        <f t="shared" si="179"/>
        <v>0</v>
      </c>
      <c r="AI168" s="45">
        <f t="shared" si="179"/>
        <v>71547.90921397676</v>
      </c>
      <c r="AJ168" s="41">
        <f t="shared" si="179"/>
        <v>91</v>
      </c>
      <c r="AK168" s="41">
        <f>IFERROR(AQ168/AN168,0)</f>
        <v>847.45629828311064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91</v>
      </c>
      <c r="AO168" s="41">
        <f t="shared" si="180"/>
        <v>0</v>
      </c>
      <c r="AP168" s="41">
        <f t="shared" si="180"/>
        <v>0</v>
      </c>
      <c r="AQ168" s="45">
        <f t="shared" si="180"/>
        <v>77118.523143763072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39772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45009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51796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55732.496000000006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-21527.972503213925</v>
      </c>
      <c r="T170" s="39"/>
      <c r="U170" s="39"/>
      <c r="V170" s="53"/>
      <c r="W170" s="53"/>
      <c r="X170" s="110"/>
      <c r="Y170" s="39"/>
      <c r="Z170" s="39"/>
      <c r="AA170" s="54">
        <f>AA169-AA168</f>
        <v>-21247.39784651954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-19751.90921397676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-21386.027143763065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Frontline &amp; Citizen-based Service Delivery and Monitoring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1</v>
      </c>
      <c r="G176" s="35">
        <f>SUMIFS(WORKING!$AC$3:$AC$6802,WORKING!$A$3:$A$6802,Results!$D$3,WORKING!$B$3:$B$6802,Results!A176,WORKING!$C$3:$C$6802,Results!C176)/1000</f>
        <v>43.5</v>
      </c>
      <c r="H176" s="35">
        <f>IFERROR(G176/F176,0)</f>
        <v>43.5</v>
      </c>
      <c r="I176" s="156" t="s">
        <v>754</v>
      </c>
      <c r="J176" s="211" t="s">
        <v>754</v>
      </c>
      <c r="K176" s="217">
        <f>IFERROR(IF(J176="",G176,J176)/IF(I176="",F176,I176),"")</f>
        <v>43.5</v>
      </c>
      <c r="L176" s="34">
        <f t="shared" ref="L176:L195" si="181">IF(I176="",F176,I176)</f>
        <v>1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47.508090000000003</v>
      </c>
      <c r="N176" s="57">
        <v>0</v>
      </c>
      <c r="O176" s="57">
        <v>0</v>
      </c>
      <c r="P176" s="61">
        <f t="shared" ref="P176:P195" si="182">-O176+L176+N176</f>
        <v>1</v>
      </c>
      <c r="Q176" s="40">
        <f>M176*N176</f>
        <v>0</v>
      </c>
      <c r="R176" s="40">
        <f>-M176*O176</f>
        <v>0</v>
      </c>
      <c r="S176" s="44">
        <f>M176*P176</f>
        <v>47.508090000000003</v>
      </c>
      <c r="T176" s="35">
        <f>P176</f>
        <v>1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51.596161144500002</v>
      </c>
      <c r="V176" s="57">
        <v>0</v>
      </c>
      <c r="W176" s="57">
        <v>0</v>
      </c>
      <c r="X176" s="61">
        <f t="shared" ref="X176:X195" si="183">-W176+T176+V176</f>
        <v>1</v>
      </c>
      <c r="Y176" s="40">
        <f>U176*V176</f>
        <v>0</v>
      </c>
      <c r="Z176" s="40">
        <f>-U176*W176</f>
        <v>0</v>
      </c>
      <c r="AA176" s="44">
        <f>U176*X176</f>
        <v>51.596161144500002</v>
      </c>
      <c r="AB176" s="35">
        <f>X176</f>
        <v>1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55.983640707422552</v>
      </c>
      <c r="AD176" s="57">
        <v>0</v>
      </c>
      <c r="AE176" s="57">
        <v>0</v>
      </c>
      <c r="AF176" s="61">
        <f t="shared" ref="AF176:AF195" si="184">-AE176+AB176+AD176</f>
        <v>1</v>
      </c>
      <c r="AG176" s="40">
        <f>AC176*AD176</f>
        <v>0</v>
      </c>
      <c r="AH176" s="40">
        <f>-AC176*AE176</f>
        <v>0</v>
      </c>
      <c r="AI176" s="44">
        <f>AC176*AF176</f>
        <v>55.983640707422552</v>
      </c>
      <c r="AJ176" s="35">
        <f t="shared" ref="AJ176:AJ195" si="185">AF176</f>
        <v>1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60.630562804342155</v>
      </c>
      <c r="AL176" s="57">
        <v>0</v>
      </c>
      <c r="AM176" s="57">
        <v>0</v>
      </c>
      <c r="AN176" s="61">
        <f t="shared" ref="AN176:AN195" si="186">-AM176+AJ176+AL176</f>
        <v>1</v>
      </c>
      <c r="AO176" s="40">
        <f>AK176*AL176</f>
        <v>0</v>
      </c>
      <c r="AP176" s="40">
        <f>-AK176*AM176</f>
        <v>0</v>
      </c>
      <c r="AQ176" s="44">
        <f>AK176*AN176</f>
        <v>60.630562804342155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1</v>
      </c>
      <c r="G181" s="35">
        <f>SUMIFS(WORKING!$AC$3:$AC$6802,WORKING!$A$3:$A$6802,Results!$D$3,WORKING!$B$3:$B$6802,Results!A181,WORKING!$C$3:$C$6802,Results!C181)/1000</f>
        <v>209.18037999999999</v>
      </c>
      <c r="H181" s="35">
        <f t="shared" si="187"/>
        <v>209.18037999999999</v>
      </c>
      <c r="I181" s="187" t="s">
        <v>754</v>
      </c>
      <c r="J181" s="212" t="s">
        <v>754</v>
      </c>
      <c r="K181" s="217">
        <f t="shared" si="188"/>
        <v>209.18037999999999</v>
      </c>
      <c r="L181" s="34">
        <f t="shared" si="181"/>
        <v>1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227.15511008112404</v>
      </c>
      <c r="N181" s="57">
        <v>0</v>
      </c>
      <c r="O181" s="57">
        <v>0</v>
      </c>
      <c r="P181" s="61">
        <f t="shared" si="182"/>
        <v>1</v>
      </c>
      <c r="Q181" s="40">
        <f t="shared" si="189"/>
        <v>0</v>
      </c>
      <c r="R181" s="40">
        <f t="shared" si="190"/>
        <v>0</v>
      </c>
      <c r="S181" s="44">
        <f t="shared" si="191"/>
        <v>227.15511008112404</v>
      </c>
      <c r="T181" s="35">
        <f t="shared" si="192"/>
        <v>1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246.2972383736597</v>
      </c>
      <c r="V181" s="57">
        <v>0</v>
      </c>
      <c r="W181" s="57">
        <v>0</v>
      </c>
      <c r="X181" s="61">
        <f t="shared" si="183"/>
        <v>1</v>
      </c>
      <c r="Y181" s="40">
        <f t="shared" si="193"/>
        <v>0</v>
      </c>
      <c r="Z181" s="40">
        <f t="shared" si="194"/>
        <v>0</v>
      </c>
      <c r="AA181" s="44">
        <f t="shared" si="195"/>
        <v>246.2972383736597</v>
      </c>
      <c r="AB181" s="35">
        <f t="shared" si="196"/>
        <v>1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266.80307405324737</v>
      </c>
      <c r="AD181" s="57">
        <v>0</v>
      </c>
      <c r="AE181" s="57">
        <v>0</v>
      </c>
      <c r="AF181" s="61">
        <f t="shared" si="184"/>
        <v>1</v>
      </c>
      <c r="AG181" s="40">
        <f t="shared" si="197"/>
        <v>0</v>
      </c>
      <c r="AH181" s="40">
        <f t="shared" si="198"/>
        <v>0</v>
      </c>
      <c r="AI181" s="44">
        <f t="shared" si="199"/>
        <v>266.80307405324737</v>
      </c>
      <c r="AJ181" s="35">
        <f t="shared" si="185"/>
        <v>1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288.4758676777999</v>
      </c>
      <c r="AL181" s="57">
        <v>0</v>
      </c>
      <c r="AM181" s="57">
        <v>0</v>
      </c>
      <c r="AN181" s="61">
        <f t="shared" si="186"/>
        <v>1</v>
      </c>
      <c r="AO181" s="40">
        <f t="shared" si="200"/>
        <v>0</v>
      </c>
      <c r="AP181" s="40">
        <f t="shared" si="201"/>
        <v>0</v>
      </c>
      <c r="AQ181" s="44">
        <f t="shared" si="202"/>
        <v>288.4758676777999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1</v>
      </c>
      <c r="G182" s="35">
        <f>SUMIFS(WORKING!$AC$3:$AC$6802,WORKING!$A$3:$A$6802,Results!$D$3,WORKING!$B$3:$B$6802,Results!A182,WORKING!$C$3:$C$6802,Results!C182)/1000</f>
        <v>268.6696</v>
      </c>
      <c r="H182" s="35">
        <f t="shared" si="187"/>
        <v>268.6696</v>
      </c>
      <c r="I182" s="187" t="s">
        <v>754</v>
      </c>
      <c r="J182" s="212" t="s">
        <v>754</v>
      </c>
      <c r="K182" s="217">
        <f t="shared" si="188"/>
        <v>268.6696</v>
      </c>
      <c r="L182" s="34">
        <f t="shared" si="181"/>
        <v>1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293.42359369339999</v>
      </c>
      <c r="N182" s="57">
        <v>0</v>
      </c>
      <c r="O182" s="57">
        <v>0</v>
      </c>
      <c r="P182" s="61">
        <f t="shared" si="182"/>
        <v>1</v>
      </c>
      <c r="Q182" s="40">
        <f t="shared" si="189"/>
        <v>0</v>
      </c>
      <c r="R182" s="40">
        <f t="shared" si="190"/>
        <v>0</v>
      </c>
      <c r="S182" s="44">
        <f t="shared" si="191"/>
        <v>293.42359369339999</v>
      </c>
      <c r="T182" s="35">
        <f t="shared" si="192"/>
        <v>1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318.67136542494137</v>
      </c>
      <c r="V182" s="57">
        <v>0</v>
      </c>
      <c r="W182" s="57">
        <v>0</v>
      </c>
      <c r="X182" s="61">
        <f t="shared" si="183"/>
        <v>1</v>
      </c>
      <c r="Y182" s="40">
        <f t="shared" si="193"/>
        <v>0</v>
      </c>
      <c r="Z182" s="40">
        <f t="shared" si="194"/>
        <v>0</v>
      </c>
      <c r="AA182" s="44">
        <f t="shared" si="195"/>
        <v>318.67136542494137</v>
      </c>
      <c r="AB182" s="35">
        <f t="shared" si="196"/>
        <v>1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345.7681435145962</v>
      </c>
      <c r="AD182" s="57">
        <v>0</v>
      </c>
      <c r="AE182" s="57">
        <v>0</v>
      </c>
      <c r="AF182" s="61">
        <f t="shared" si="184"/>
        <v>1</v>
      </c>
      <c r="AG182" s="40">
        <f t="shared" si="197"/>
        <v>0</v>
      </c>
      <c r="AH182" s="40">
        <f t="shared" si="198"/>
        <v>0</v>
      </c>
      <c r="AI182" s="44">
        <f t="shared" si="199"/>
        <v>345.7681435145962</v>
      </c>
      <c r="AJ182" s="35">
        <f t="shared" si="185"/>
        <v>1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374.46706715512278</v>
      </c>
      <c r="AL182" s="57">
        <v>0</v>
      </c>
      <c r="AM182" s="57">
        <v>0</v>
      </c>
      <c r="AN182" s="61">
        <f t="shared" si="186"/>
        <v>1</v>
      </c>
      <c r="AO182" s="40">
        <f t="shared" si="200"/>
        <v>0</v>
      </c>
      <c r="AP182" s="40">
        <f t="shared" si="201"/>
        <v>0</v>
      </c>
      <c r="AQ182" s="44">
        <f t="shared" si="202"/>
        <v>374.46706715512278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</v>
      </c>
      <c r="G188" s="35">
        <f>SUMIFS(WORKING!$AC$3:$AC$6802,WORKING!$A$3:$A$6802,Results!$D$3,WORKING!$B$3:$B$6802,Results!A188,WORKING!$C$3:$C$6802,Results!C188)/1000</f>
        <v>509.02097999999989</v>
      </c>
      <c r="H188" s="35">
        <f t="shared" si="187"/>
        <v>509.02097999999989</v>
      </c>
      <c r="I188" s="187" t="s">
        <v>754</v>
      </c>
      <c r="J188" s="212" t="s">
        <v>754</v>
      </c>
      <c r="K188" s="217">
        <f t="shared" si="188"/>
        <v>509.02097999999989</v>
      </c>
      <c r="L188" s="34">
        <f t="shared" si="181"/>
        <v>1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533.70541040999979</v>
      </c>
      <c r="N188" s="57">
        <v>0</v>
      </c>
      <c r="O188" s="57">
        <v>0</v>
      </c>
      <c r="P188" s="61">
        <f t="shared" si="182"/>
        <v>1</v>
      </c>
      <c r="Q188" s="40">
        <f t="shared" si="189"/>
        <v>0</v>
      </c>
      <c r="R188" s="40">
        <f t="shared" si="190"/>
        <v>0</v>
      </c>
      <c r="S188" s="44">
        <f t="shared" si="191"/>
        <v>533.70541040999979</v>
      </c>
      <c r="T188" s="35">
        <f t="shared" si="192"/>
        <v>1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574.21306790666495</v>
      </c>
      <c r="V188" s="57">
        <v>0</v>
      </c>
      <c r="W188" s="57">
        <v>0</v>
      </c>
      <c r="X188" s="61">
        <f t="shared" si="183"/>
        <v>1</v>
      </c>
      <c r="Y188" s="40">
        <f t="shared" si="193"/>
        <v>0</v>
      </c>
      <c r="Z188" s="40">
        <f t="shared" si="194"/>
        <v>0</v>
      </c>
      <c r="AA188" s="44">
        <f t="shared" si="195"/>
        <v>574.21306790666495</v>
      </c>
      <c r="AB188" s="35">
        <f t="shared" si="196"/>
        <v>1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617.21238667459181</v>
      </c>
      <c r="AD188" s="57">
        <v>0</v>
      </c>
      <c r="AE188" s="57">
        <v>0</v>
      </c>
      <c r="AF188" s="61">
        <f t="shared" si="184"/>
        <v>1</v>
      </c>
      <c r="AG188" s="40">
        <f t="shared" si="197"/>
        <v>0</v>
      </c>
      <c r="AH188" s="40">
        <f t="shared" si="198"/>
        <v>0</v>
      </c>
      <c r="AI188" s="44">
        <f t="shared" si="199"/>
        <v>617.21238667459181</v>
      </c>
      <c r="AJ188" s="35">
        <f t="shared" si="185"/>
        <v>1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662.17872261705247</v>
      </c>
      <c r="AL188" s="57">
        <v>0</v>
      </c>
      <c r="AM188" s="57">
        <v>0</v>
      </c>
      <c r="AN188" s="61">
        <f t="shared" si="186"/>
        <v>1</v>
      </c>
      <c r="AO188" s="40">
        <f t="shared" si="200"/>
        <v>0</v>
      </c>
      <c r="AP188" s="40">
        <f t="shared" si="201"/>
        <v>0</v>
      </c>
      <c r="AQ188" s="44">
        <f t="shared" si="202"/>
        <v>662.17872261705247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1</v>
      </c>
      <c r="G189" s="35">
        <f>SUMIFS(WORKING!$AC$3:$AC$6802,WORKING!$A$3:$A$6802,Results!$D$3,WORKING!$B$3:$B$6802,Results!A189,WORKING!$C$3:$C$6802,Results!C189)/1000</f>
        <v>964.33537000000013</v>
      </c>
      <c r="H189" s="35">
        <f t="shared" si="187"/>
        <v>964.33537000000013</v>
      </c>
      <c r="I189" s="187" t="s">
        <v>754</v>
      </c>
      <c r="J189" s="212" t="s">
        <v>754</v>
      </c>
      <c r="K189" s="217">
        <f t="shared" si="188"/>
        <v>964.33537000000013</v>
      </c>
      <c r="L189" s="34">
        <f t="shared" si="181"/>
        <v>1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1010.0532869990501</v>
      </c>
      <c r="N189" s="57">
        <v>0</v>
      </c>
      <c r="O189" s="57">
        <v>0</v>
      </c>
      <c r="P189" s="61">
        <f t="shared" si="182"/>
        <v>1</v>
      </c>
      <c r="Q189" s="40">
        <f t="shared" si="189"/>
        <v>0</v>
      </c>
      <c r="R189" s="40">
        <f t="shared" si="190"/>
        <v>0</v>
      </c>
      <c r="S189" s="44">
        <f t="shared" si="191"/>
        <v>1010.0532869990501</v>
      </c>
      <c r="T189" s="35">
        <f t="shared" si="192"/>
        <v>1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1085.5904650680247</v>
      </c>
      <c r="V189" s="57">
        <v>0</v>
      </c>
      <c r="W189" s="57">
        <v>0</v>
      </c>
      <c r="X189" s="61">
        <f t="shared" si="183"/>
        <v>1</v>
      </c>
      <c r="Y189" s="40">
        <f t="shared" si="193"/>
        <v>0</v>
      </c>
      <c r="Z189" s="40">
        <f t="shared" si="194"/>
        <v>0</v>
      </c>
      <c r="AA189" s="44">
        <f t="shared" si="195"/>
        <v>1085.5904650680247</v>
      </c>
      <c r="AB189" s="35">
        <f t="shared" si="196"/>
        <v>1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1165.6759838987582</v>
      </c>
      <c r="AD189" s="57">
        <v>0</v>
      </c>
      <c r="AE189" s="57">
        <v>0</v>
      </c>
      <c r="AF189" s="61">
        <f t="shared" si="184"/>
        <v>1</v>
      </c>
      <c r="AG189" s="40">
        <f t="shared" si="197"/>
        <v>0</v>
      </c>
      <c r="AH189" s="40">
        <f t="shared" si="198"/>
        <v>0</v>
      </c>
      <c r="AI189" s="44">
        <f t="shared" si="199"/>
        <v>1165.6759838987582</v>
      </c>
      <c r="AJ189" s="35">
        <f t="shared" si="185"/>
        <v>1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1249.3056521890076</v>
      </c>
      <c r="AL189" s="57">
        <v>0</v>
      </c>
      <c r="AM189" s="57">
        <v>0</v>
      </c>
      <c r="AN189" s="61">
        <f t="shared" si="186"/>
        <v>1</v>
      </c>
      <c r="AO189" s="40">
        <f t="shared" si="200"/>
        <v>0</v>
      </c>
      <c r="AP189" s="40">
        <f t="shared" si="201"/>
        <v>0</v>
      </c>
      <c r="AQ189" s="44">
        <f t="shared" si="202"/>
        <v>1249.3056521890076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5</v>
      </c>
      <c r="G196" s="41">
        <f>SUM(G176:G195)</f>
        <v>1994.70633</v>
      </c>
      <c r="H196" s="41">
        <f>IFERROR(G196/F196,0)</f>
        <v>398.94126599999998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5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1994.70633</v>
      </c>
      <c r="K196" s="41">
        <f>IFERROR(J196/I196,"")</f>
        <v>398.94126599999998</v>
      </c>
      <c r="L196" s="41">
        <f>SUM(L176:L195)</f>
        <v>5</v>
      </c>
      <c r="M196" s="41">
        <f>IFERROR(S196/P196,0)</f>
        <v>422.36909823671476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5</v>
      </c>
      <c r="Q196" s="41">
        <f t="shared" si="203"/>
        <v>0</v>
      </c>
      <c r="R196" s="41">
        <f t="shared" si="203"/>
        <v>0</v>
      </c>
      <c r="S196" s="45">
        <f t="shared" si="203"/>
        <v>2111.8454911835738</v>
      </c>
      <c r="T196" s="41">
        <f t="shared" si="203"/>
        <v>5</v>
      </c>
      <c r="U196" s="41">
        <f>IFERROR(AA196/X196,0)</f>
        <v>455.27365958355824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5</v>
      </c>
      <c r="Y196" s="41">
        <f t="shared" si="204"/>
        <v>0</v>
      </c>
      <c r="Z196" s="41">
        <f t="shared" si="204"/>
        <v>0</v>
      </c>
      <c r="AA196" s="45">
        <f t="shared" si="204"/>
        <v>2276.3682979177911</v>
      </c>
      <c r="AB196" s="41">
        <f t="shared" si="204"/>
        <v>5</v>
      </c>
      <c r="AC196" s="41">
        <f>IFERROR(AI196/AF196,0)</f>
        <v>490.28864576972319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5</v>
      </c>
      <c r="AG196" s="41">
        <f t="shared" si="205"/>
        <v>0</v>
      </c>
      <c r="AH196" s="41">
        <f t="shared" si="205"/>
        <v>0</v>
      </c>
      <c r="AI196" s="45">
        <f t="shared" si="205"/>
        <v>2451.4432288486159</v>
      </c>
      <c r="AJ196" s="41">
        <f t="shared" si="205"/>
        <v>5</v>
      </c>
      <c r="AK196" s="41">
        <f>IFERROR(AQ196/AN196,0)</f>
        <v>527.01157448866502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5</v>
      </c>
      <c r="AO196" s="41">
        <f t="shared" si="206"/>
        <v>0</v>
      </c>
      <c r="AP196" s="41">
        <f t="shared" si="206"/>
        <v>0</v>
      </c>
      <c r="AQ196" s="45">
        <f t="shared" si="206"/>
        <v>2635.0578724433249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4253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4657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5999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6454.924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2141.1545088164262</v>
      </c>
      <c r="T198" s="39"/>
      <c r="U198" s="39"/>
      <c r="V198" s="53"/>
      <c r="W198" s="53"/>
      <c r="X198" s="110"/>
      <c r="Y198" s="39"/>
      <c r="Z198" s="39"/>
      <c r="AA198" s="54">
        <f>AA197-AA196</f>
        <v>2380.6317020822089</v>
      </c>
      <c r="AB198" s="39"/>
      <c r="AC198" s="53"/>
      <c r="AD198" s="53"/>
      <c r="AE198" s="110"/>
      <c r="AF198" s="39"/>
      <c r="AG198" s="39"/>
      <c r="AH198" s="39"/>
      <c r="AI198" s="54">
        <f>AI197-AI196</f>
        <v>3547.5567711513841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3819.8661275566751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Evidence &amp; Knowledge Systems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National Youth Development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XluNr8cBvK2NOXZ6IwI5ACxOS2MYvMR++EUuf4aSQPqF1dLfOD5wwApNLbnZTulNWFL9xgUsQib+1tVUbO3TGA==" saltValue="P62pBBX7dg5ieEvjXx9G1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Planning, Monitoring and Evaluation.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8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42671.490798032406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NAT_HRBP__42671.4907980324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HRBP-Vote08.xlsx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df7ca258-5e24-45de-bd31-dbc76bc6765a"/>
    <ds:schemaRef ds:uri="http://schemas.microsoft.com/office/2006/documentManagement/types"/>
    <ds:schemaRef ds:uri="http://schemas.microsoft.com/sharepoint/v3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